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949" documentId="8_{74FF34ED-70F2-47E0-BA1B-B246C3C61825}" xr6:coauthVersionLast="47" xr6:coauthVersionMax="47" xr10:uidLastSave="{3A584A7A-9AFE-4BFD-B861-F7102FBDF5CB}"/>
  <bookViews>
    <workbookView xWindow="-108" yWindow="-108" windowWidth="23256" windowHeight="12576" activeTab="1" xr2:uid="{00000000-000D-0000-FFFF-FFFF00000000}"/>
  </bookViews>
  <sheets>
    <sheet name="ENGLISH" sheetId="1" r:id="rId1"/>
    <sheet name="FRANÇAIS" sheetId="2" r:id="rId2"/>
  </sheets>
  <definedNames>
    <definedName name="_xlnm.Print_Area" localSheetId="0">ENGLISH!$A$1:$P$83</definedName>
    <definedName name="_xlnm.Print_Area" localSheetId="1">FRANÇAIS!$A$1:$K$82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" l="1"/>
  <c r="L9" i="2" s="1"/>
  <c r="K11" i="1"/>
  <c r="L11" i="1" l="1"/>
  <c r="D61" i="2"/>
  <c r="D60" i="2"/>
  <c r="O33" i="1"/>
  <c r="O32" i="1"/>
  <c r="O31" i="2" l="1"/>
  <c r="J18" i="2"/>
  <c r="J19" i="2"/>
  <c r="J20" i="2"/>
  <c r="J21" i="2"/>
  <c r="H22" i="2" l="1"/>
  <c r="D79" i="1"/>
  <c r="K5" i="1"/>
  <c r="D78" i="1"/>
  <c r="E78" i="1" s="1"/>
  <c r="F78" i="1" l="1"/>
  <c r="G78" i="1"/>
  <c r="H24" i="1"/>
  <c r="D68" i="1" l="1"/>
  <c r="E68" i="1" s="1"/>
  <c r="D70" i="1" l="1"/>
  <c r="D71" i="1"/>
  <c r="E71" i="1" s="1"/>
  <c r="D72" i="1"/>
  <c r="E72" i="1" s="1"/>
  <c r="D73" i="1"/>
  <c r="E73" i="1" s="1"/>
  <c r="D65" i="1"/>
  <c r="D61" i="1"/>
  <c r="D62" i="1"/>
  <c r="D63" i="1"/>
  <c r="D76" i="1"/>
  <c r="D74" i="1"/>
  <c r="E74" i="1" s="1"/>
  <c r="D75" i="1"/>
  <c r="E75" i="1" s="1"/>
  <c r="D67" i="1"/>
  <c r="E67" i="1" s="1"/>
  <c r="D66" i="1"/>
  <c r="E66" i="1" s="1"/>
  <c r="I85" i="1"/>
  <c r="F68" i="1" l="1"/>
  <c r="G68" i="1"/>
  <c r="F71" i="1" l="1"/>
  <c r="G71" i="1"/>
  <c r="F74" i="1"/>
  <c r="G74" i="1"/>
  <c r="F75" i="1"/>
  <c r="G75" i="1"/>
  <c r="F72" i="1"/>
  <c r="G72" i="1"/>
  <c r="F73" i="1"/>
  <c r="G73" i="1"/>
  <c r="F67" i="1"/>
  <c r="G67" i="1"/>
  <c r="F66" i="1"/>
  <c r="G66" i="1"/>
  <c r="F43" i="2"/>
  <c r="D62" i="2"/>
  <c r="D65" i="2"/>
  <c r="E65" i="2" s="1"/>
  <c r="D66" i="2"/>
  <c r="E66" i="2" s="1"/>
  <c r="D67" i="2"/>
  <c r="E67" i="2" s="1"/>
  <c r="D68" i="2"/>
  <c r="E68" i="2" s="1"/>
  <c r="D70" i="2"/>
  <c r="E70" i="2" s="1"/>
  <c r="D71" i="2"/>
  <c r="E71" i="2" s="1"/>
  <c r="D72" i="2"/>
  <c r="E72" i="2" s="1"/>
  <c r="D74" i="2"/>
  <c r="E74" i="2" s="1"/>
  <c r="D75" i="2"/>
  <c r="E75" i="2" s="1"/>
  <c r="D76" i="2"/>
  <c r="E76" i="2" s="1"/>
  <c r="D77" i="2"/>
  <c r="E77" i="2" s="1"/>
  <c r="E22" i="2"/>
  <c r="F83" i="2" s="1"/>
  <c r="G83" i="2" s="1"/>
  <c r="H83" i="2" s="1"/>
  <c r="F84" i="2"/>
  <c r="G84" i="2" s="1"/>
  <c r="H84" i="2" s="1"/>
  <c r="I83" i="2"/>
  <c r="J83" i="2" s="1"/>
  <c r="K83" i="2" s="1"/>
  <c r="B24" i="2"/>
  <c r="E23" i="2"/>
  <c r="F7" i="2"/>
  <c r="B23" i="2"/>
  <c r="B39" i="2"/>
  <c r="B43" i="2"/>
  <c r="Q32" i="2"/>
  <c r="B45" i="2"/>
  <c r="D45" i="2"/>
  <c r="Q33" i="2"/>
  <c r="B47" i="2"/>
  <c r="D47" i="2"/>
  <c r="Q34" i="2"/>
  <c r="B49" i="2"/>
  <c r="D49" i="2"/>
  <c r="Q35" i="2"/>
  <c r="B51" i="2"/>
  <c r="D51" i="2"/>
  <c r="Q36" i="2"/>
  <c r="B53" i="2"/>
  <c r="D53" i="2"/>
  <c r="F22" i="2"/>
  <c r="K5" i="2"/>
  <c r="K6" i="2" s="1"/>
  <c r="K8" i="2" s="1"/>
  <c r="A83" i="2"/>
  <c r="O34" i="2"/>
  <c r="O34" i="1"/>
  <c r="G22" i="2"/>
  <c r="O36" i="2"/>
  <c r="O35" i="2"/>
  <c r="A60" i="2"/>
  <c r="D63" i="2" s="1"/>
  <c r="E63" i="2" s="1"/>
  <c r="I87" i="1"/>
  <c r="J87" i="1" s="1"/>
  <c r="I86" i="1"/>
  <c r="J86" i="1" s="1"/>
  <c r="K86" i="1" s="1"/>
  <c r="C25" i="1"/>
  <c r="C39" i="1" s="1"/>
  <c r="F86" i="1"/>
  <c r="G86" i="1" s="1"/>
  <c r="H86" i="1" s="1"/>
  <c r="C86" i="1"/>
  <c r="D86" i="1" s="1"/>
  <c r="E86" i="1" s="1"/>
  <c r="G24" i="1"/>
  <c r="F8" i="1"/>
  <c r="E25" i="1"/>
  <c r="J16" i="2"/>
  <c r="J17" i="2"/>
  <c r="B31" i="2"/>
  <c r="B32" i="2"/>
  <c r="B33" i="2"/>
  <c r="B34" i="2"/>
  <c r="B35" i="2"/>
  <c r="B36" i="2"/>
  <c r="D43" i="2"/>
  <c r="A86" i="1"/>
  <c r="A87" i="1"/>
  <c r="A85" i="1"/>
  <c r="O35" i="1"/>
  <c r="O36" i="1"/>
  <c r="O37" i="1"/>
  <c r="D54" i="1"/>
  <c r="B54" i="1"/>
  <c r="D52" i="1"/>
  <c r="B52" i="1"/>
  <c r="D50" i="1"/>
  <c r="B50" i="1"/>
  <c r="D48" i="1"/>
  <c r="B48" i="1"/>
  <c r="D46" i="1"/>
  <c r="B46" i="1"/>
  <c r="F44" i="1"/>
  <c r="K44" i="1" s="1"/>
  <c r="D44" i="1"/>
  <c r="B44" i="1"/>
  <c r="E24" i="1"/>
  <c r="F87" i="1" s="1"/>
  <c r="G87" i="1" s="1"/>
  <c r="H87" i="1" s="1"/>
  <c r="J18" i="1"/>
  <c r="J23" i="1"/>
  <c r="J22" i="1"/>
  <c r="J21" i="1"/>
  <c r="J20" i="1"/>
  <c r="J19" i="1"/>
  <c r="Q33" i="1"/>
  <c r="Q37" i="1"/>
  <c r="H54" i="1"/>
  <c r="G37" i="1" s="1"/>
  <c r="Q36" i="1"/>
  <c r="H52" i="1"/>
  <c r="G36" i="1" s="1"/>
  <c r="Q35" i="1"/>
  <c r="Q34" i="1"/>
  <c r="F24" i="1"/>
  <c r="B37" i="1"/>
  <c r="B36" i="1"/>
  <c r="B35" i="1"/>
  <c r="B34" i="1"/>
  <c r="B33" i="1"/>
  <c r="B32" i="1"/>
  <c r="K87" i="1" l="1"/>
  <c r="L8" i="2"/>
  <c r="H44" i="1"/>
  <c r="G32" i="1" s="1"/>
  <c r="J32" i="1" s="1"/>
  <c r="C83" i="2"/>
  <c r="D83" i="2" s="1"/>
  <c r="E83" i="2" s="1"/>
  <c r="G76" i="2"/>
  <c r="H76" i="2"/>
  <c r="G65" i="2"/>
  <c r="H65" i="2"/>
  <c r="G75" i="2"/>
  <c r="H75" i="2"/>
  <c r="H72" i="2"/>
  <c r="G72" i="2"/>
  <c r="H71" i="2"/>
  <c r="G71" i="2"/>
  <c r="H70" i="2"/>
  <c r="G70" i="2"/>
  <c r="H68" i="2"/>
  <c r="G68" i="2"/>
  <c r="F82" i="2"/>
  <c r="G82" i="2" s="1"/>
  <c r="H82" i="2" s="1"/>
  <c r="C22" i="2"/>
  <c r="C17" i="2" s="1"/>
  <c r="H43" i="2"/>
  <c r="G31" i="2" s="1"/>
  <c r="I84" i="2"/>
  <c r="E39" i="2" s="1"/>
  <c r="F39" i="2" s="1"/>
  <c r="C82" i="2"/>
  <c r="D82" i="2" s="1"/>
  <c r="E82" i="2" s="1"/>
  <c r="D60" i="1"/>
  <c r="C87" i="1"/>
  <c r="D87" i="1" s="1"/>
  <c r="E87" i="1" s="1"/>
  <c r="C84" i="1"/>
  <c r="D84" i="1" s="1"/>
  <c r="E84" i="1" s="1"/>
  <c r="F85" i="1"/>
  <c r="J85" i="1"/>
  <c r="K85" i="1" s="1"/>
  <c r="E39" i="1"/>
  <c r="F39" i="1" s="1"/>
  <c r="K7" i="1"/>
  <c r="K10" i="1" s="1"/>
  <c r="L10" i="1" s="1"/>
  <c r="C24" i="1"/>
  <c r="C20" i="1" s="1"/>
  <c r="F84" i="1"/>
  <c r="G84" i="1" s="1"/>
  <c r="H84" i="1" s="1"/>
  <c r="F52" i="1"/>
  <c r="F46" i="1"/>
  <c r="H46" i="1" s="1"/>
  <c r="G33" i="1" s="1"/>
  <c r="F48" i="1"/>
  <c r="H48" i="1" s="1"/>
  <c r="G34" i="1" s="1"/>
  <c r="F50" i="1"/>
  <c r="H50" i="1" s="1"/>
  <c r="G35" i="1" s="1"/>
  <c r="F54" i="1"/>
  <c r="K43" i="2"/>
  <c r="F49" i="2" s="1"/>
  <c r="H49" i="2" s="1"/>
  <c r="G34" i="2" s="1"/>
  <c r="H47" i="2"/>
  <c r="G33" i="2" s="1"/>
  <c r="L31" i="2" l="1"/>
  <c r="J31" i="2"/>
  <c r="L32" i="1"/>
  <c r="C84" i="2"/>
  <c r="E37" i="2"/>
  <c r="C37" i="2" s="1"/>
  <c r="C18" i="2"/>
  <c r="C16" i="2"/>
  <c r="C20" i="2"/>
  <c r="C19" i="2"/>
  <c r="C21" i="2"/>
  <c r="D22" i="2"/>
  <c r="D17" i="2" s="1"/>
  <c r="J84" i="2"/>
  <c r="K84" i="2" s="1"/>
  <c r="G85" i="1"/>
  <c r="H85" i="1" s="1"/>
  <c r="C85" i="1"/>
  <c r="C22" i="1"/>
  <c r="C18" i="1"/>
  <c r="C21" i="1"/>
  <c r="E38" i="1"/>
  <c r="E35" i="1" s="1"/>
  <c r="C19" i="1"/>
  <c r="C23" i="1"/>
  <c r="D24" i="1"/>
  <c r="F51" i="2"/>
  <c r="H51" i="2" s="1"/>
  <c r="G35" i="2" s="1"/>
  <c r="F53" i="2"/>
  <c r="H53" i="2" s="1"/>
  <c r="G36" i="2" s="1"/>
  <c r="F45" i="2"/>
  <c r="O32" i="2" s="1"/>
  <c r="F47" i="2"/>
  <c r="O33" i="2" s="1"/>
  <c r="D84" i="2" l="1"/>
  <c r="E84" i="2" s="1"/>
  <c r="D85" i="1"/>
  <c r="E85" i="1" s="1"/>
  <c r="E36" i="2"/>
  <c r="F36" i="2" s="1"/>
  <c r="E35" i="2"/>
  <c r="F35" i="2" s="1"/>
  <c r="H45" i="2"/>
  <c r="G32" i="2" s="1"/>
  <c r="G37" i="2" s="1"/>
  <c r="E32" i="2"/>
  <c r="F32" i="2" s="1"/>
  <c r="E34" i="2"/>
  <c r="F34" i="2" s="1"/>
  <c r="E33" i="2"/>
  <c r="F33" i="2" s="1"/>
  <c r="E31" i="2"/>
  <c r="F31" i="2" s="1"/>
  <c r="D19" i="2"/>
  <c r="D16" i="2"/>
  <c r="D21" i="2"/>
  <c r="D20" i="2"/>
  <c r="D18" i="2"/>
  <c r="E33" i="1"/>
  <c r="E34" i="1"/>
  <c r="C38" i="1"/>
  <c r="E36" i="1"/>
  <c r="E37" i="1"/>
  <c r="D22" i="1"/>
  <c r="D19" i="1"/>
  <c r="D23" i="1"/>
  <c r="D20" i="1"/>
  <c r="D18" i="1"/>
  <c r="D21" i="1"/>
  <c r="E32" i="1"/>
  <c r="D37" i="2"/>
  <c r="C32" i="2" l="1"/>
  <c r="E62" i="2"/>
  <c r="H40" i="2"/>
  <c r="E60" i="2"/>
  <c r="E61" i="2"/>
  <c r="C34" i="2"/>
  <c r="D34" i="2" s="1"/>
  <c r="C33" i="2"/>
  <c r="D33" i="2" s="1"/>
  <c r="C35" i="2"/>
  <c r="D35" i="2" s="1"/>
  <c r="C36" i="2"/>
  <c r="D36" i="2" s="1"/>
  <c r="C31" i="2"/>
  <c r="D31" i="2" s="1"/>
  <c r="H67" i="2"/>
  <c r="F37" i="2"/>
  <c r="H74" i="2"/>
  <c r="D32" i="2"/>
  <c r="C33" i="1"/>
  <c r="D38" i="1"/>
  <c r="D34" i="1" s="1"/>
  <c r="C34" i="1"/>
  <c r="C35" i="1"/>
  <c r="C32" i="1"/>
  <c r="C37" i="1"/>
  <c r="C36" i="1"/>
  <c r="H77" i="2" l="1"/>
  <c r="H63" i="2"/>
  <c r="H61" i="2"/>
  <c r="H66" i="2"/>
  <c r="H62" i="2"/>
  <c r="H60" i="2"/>
  <c r="D32" i="1"/>
  <c r="F32" i="1" s="1"/>
  <c r="F34" i="1"/>
  <c r="D35" i="1"/>
  <c r="F35" i="1" s="1"/>
  <c r="D36" i="1"/>
  <c r="F36" i="1" s="1"/>
  <c r="D33" i="1"/>
  <c r="F33" i="1" s="1"/>
  <c r="D37" i="1"/>
  <c r="F37" i="1" s="1"/>
  <c r="H37" i="2" l="1"/>
  <c r="I61" i="2" s="1"/>
  <c r="G74" i="2"/>
  <c r="F38" i="1"/>
  <c r="H34" i="2" l="1"/>
  <c r="H32" i="2"/>
  <c r="H35" i="2"/>
  <c r="H33" i="2"/>
  <c r="H36" i="2"/>
  <c r="I62" i="2"/>
  <c r="I40" i="2"/>
  <c r="I63" i="2"/>
  <c r="I60" i="2"/>
  <c r="G38" i="1"/>
  <c r="H40" i="1" l="1"/>
  <c r="E79" i="1"/>
  <c r="G79" i="1" s="1"/>
  <c r="E76" i="1"/>
  <c r="E63" i="1"/>
  <c r="E60" i="1"/>
  <c r="G60" i="1" s="1"/>
  <c r="E61" i="1"/>
  <c r="E62" i="1"/>
  <c r="I37" i="2"/>
  <c r="K37" i="2" s="1"/>
  <c r="G66" i="2"/>
  <c r="E65" i="1"/>
  <c r="G65" i="1" s="1"/>
  <c r="E70" i="1"/>
  <c r="G76" i="1" l="1"/>
  <c r="G62" i="2"/>
  <c r="G77" i="2"/>
  <c r="G60" i="2"/>
  <c r="G61" i="2"/>
  <c r="G63" i="2"/>
  <c r="G62" i="1"/>
  <c r="G67" i="2"/>
  <c r="I32" i="2"/>
  <c r="I34" i="2"/>
  <c r="I36" i="2"/>
  <c r="I35" i="2"/>
  <c r="I33" i="2"/>
  <c r="G70" i="1"/>
  <c r="G63" i="1"/>
  <c r="G61" i="1"/>
  <c r="J33" i="2" l="1"/>
  <c r="L33" i="2"/>
  <c r="L35" i="2"/>
  <c r="J35" i="2"/>
  <c r="L36" i="2"/>
  <c r="J36" i="2"/>
  <c r="L34" i="2"/>
  <c r="J34" i="2"/>
  <c r="J32" i="2"/>
  <c r="L32" i="2"/>
  <c r="H38" i="1"/>
  <c r="H61" i="1" s="1"/>
  <c r="J37" i="2" l="1"/>
  <c r="L37" i="2"/>
  <c r="I40" i="1"/>
  <c r="H36" i="1"/>
  <c r="H37" i="1"/>
  <c r="H34" i="1"/>
  <c r="H33" i="1"/>
  <c r="H35" i="1"/>
  <c r="H63" i="1"/>
  <c r="H60" i="1"/>
  <c r="H62" i="1"/>
  <c r="I38" i="1" l="1"/>
  <c r="K38" i="1" s="1"/>
  <c r="F70" i="1"/>
  <c r="F79" i="1" l="1"/>
  <c r="F76" i="1"/>
  <c r="F63" i="1"/>
  <c r="F65" i="1"/>
  <c r="F60" i="1"/>
  <c r="F62" i="1"/>
  <c r="F61" i="1"/>
  <c r="I34" i="1"/>
  <c r="I36" i="1"/>
  <c r="I37" i="1"/>
  <c r="I35" i="1"/>
  <c r="I33" i="1"/>
  <c r="L33" i="1" l="1"/>
  <c r="J33" i="1"/>
  <c r="L35" i="1"/>
  <c r="J35" i="1"/>
  <c r="L37" i="1"/>
  <c r="J37" i="1"/>
  <c r="L36" i="1"/>
  <c r="J36" i="1"/>
  <c r="L34" i="1"/>
  <c r="J34" i="1"/>
  <c r="L38" i="1" l="1"/>
  <c r="J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5" authorId="0" shapeId="0" xr:uid="{E8EF3EA7-B41A-4078-B32D-5BEA7089E81C}">
      <text>
        <r>
          <rPr>
            <b/>
            <sz val="9"/>
            <color indexed="81"/>
            <rFont val="Tahoma"/>
            <family val="2"/>
          </rPr>
          <t>Must be Canadian eligible cost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E57CD31A-9D5A-4920-8E5A-9761220ED1A3}">
      <text>
        <r>
          <rPr>
            <sz val="9"/>
            <color indexed="81"/>
            <rFont val="Tahoma"/>
            <family val="2"/>
          </rPr>
          <t xml:space="preserve">Knowledge Network, Télé-Québec, TFO and TVO
</t>
        </r>
      </text>
    </comment>
    <comment ref="E11" authorId="0" shapeId="0" xr:uid="{769B38EF-E3B6-44C9-A612-CB73B5DC4B9D}">
      <text>
        <r>
          <rPr>
            <b/>
            <sz val="9"/>
            <color indexed="81"/>
            <rFont val="Tahoma"/>
            <family val="2"/>
          </rPr>
          <t>If Yes, enter the Incentive amount here</t>
        </r>
      </text>
    </comment>
    <comment ref="E25" authorId="0" shapeId="0" xr:uid="{60E475F2-DF12-471D-99E6-7B65927D9AA5}">
      <text>
        <r>
          <rPr>
            <b/>
            <sz val="9"/>
            <color indexed="81"/>
            <rFont val="Tahoma"/>
            <family val="2"/>
          </rPr>
          <t>Requested amount as entered in cell E11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5" authorId="0" shapeId="0" xr:uid="{541D1876-5A87-41EC-932E-20E7D63A361D}">
      <text>
        <r>
          <rPr>
            <b/>
            <sz val="9"/>
            <color indexed="81"/>
            <rFont val="Tahoma"/>
            <family val="2"/>
          </rPr>
          <t>Doit correspondre aux dépenses admissibles canadiennes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0" shapeId="0" xr:uid="{1767CBD1-3518-46E1-98FC-E39D7082854B}">
      <text>
        <r>
          <rPr>
            <sz val="9"/>
            <color indexed="81"/>
            <rFont val="Tahoma"/>
            <family val="2"/>
          </rPr>
          <t>Knowledge Network, Télé-Québec, TFO et TVO</t>
        </r>
      </text>
    </comment>
    <comment ref="E9" authorId="0" shapeId="0" xr:uid="{2690BB2B-6CC4-4C34-A86C-0DEEF9CF1790}">
      <text>
        <r>
          <rPr>
            <b/>
            <sz val="9"/>
            <color indexed="81"/>
            <rFont val="Tahoma"/>
            <family val="2"/>
          </rPr>
          <t>Si oui, veuillez entrer le montant de la mesure incitative dans cette cellule</t>
        </r>
      </text>
    </comment>
    <comment ref="E23" authorId="0" shapeId="0" xr:uid="{F97ACCB8-87B6-4214-B365-6574B2BE77F2}">
      <text>
        <r>
          <rPr>
            <b/>
            <sz val="9"/>
            <color indexed="81"/>
            <rFont val="Tahoma"/>
            <family val="2"/>
          </rPr>
          <t>Montant demandé, tel qu'inscrit dans la cellule E9</t>
        </r>
      </text>
    </comment>
  </commentList>
</comments>
</file>

<file path=xl/sharedStrings.xml><?xml version="1.0" encoding="utf-8"?>
<sst xmlns="http://schemas.openxmlformats.org/spreadsheetml/2006/main" count="363" uniqueCount="248">
  <si>
    <r>
      <rPr>
        <b/>
        <sz val="12"/>
        <rFont val="Calibri"/>
        <family val="2"/>
        <scheme val="minor"/>
      </rPr>
      <t xml:space="preserve">2025-2026 - Triggering Commitment Thresholds, Maximum Contribution and Term Calculation Sheet </t>
    </r>
    <r>
      <rPr>
        <b/>
        <sz val="10"/>
        <rFont val="Calibri"/>
        <family val="2"/>
        <scheme val="minor"/>
      </rPr>
      <t xml:space="preserve">
</t>
    </r>
    <r>
      <rPr>
        <b/>
        <u/>
        <sz val="14"/>
        <rFont val="Calibri"/>
        <family val="2"/>
        <scheme val="minor"/>
      </rPr>
      <t>English-Language</t>
    </r>
    <r>
      <rPr>
        <b/>
        <sz val="14"/>
        <rFont val="Calibri"/>
        <family val="2"/>
        <scheme val="minor"/>
      </rPr>
      <t xml:space="preserve"> *  Broadcaster Envelope Program (BEP)  •  Regional Production Funding
</t>
    </r>
    <r>
      <rPr>
        <b/>
        <sz val="10"/>
        <color rgb="FF0070C0"/>
        <rFont val="Calibri"/>
        <family val="2"/>
        <scheme val="minor"/>
      </rPr>
      <t>*voir onglet séparé au bas pour les projets en français</t>
    </r>
  </si>
  <si>
    <t>Project
Name:</t>
  </si>
  <si>
    <t>Project No:</t>
  </si>
  <si>
    <t>Date:</t>
  </si>
  <si>
    <t>Please complete all green cells</t>
  </si>
  <si>
    <t>Budget/Final Cost</t>
  </si>
  <si>
    <t>Number of Episodes</t>
  </si>
  <si>
    <t>Episode Length 
(in Min.)</t>
  </si>
  <si>
    <t>Total Hours</t>
  </si>
  <si>
    <t xml:space="preserve">Budget/Hour </t>
  </si>
  <si>
    <t>Are all Broadcasters Educational?</t>
  </si>
  <si>
    <t>Yes</t>
  </si>
  <si>
    <t>Is there an Incentive Program?</t>
  </si>
  <si>
    <t>Carbon calculator required?</t>
  </si>
  <si>
    <t>Described video required?</t>
  </si>
  <si>
    <t>Budget Category (Genre)</t>
  </si>
  <si>
    <t>(1): Enter Canadian broadcasters and licences first and in order of start of term dates</t>
  </si>
  <si>
    <t>(2): If the project has both English and French licences, do not complete the "Exclusivity" column</t>
  </si>
  <si>
    <t>For the Canadian Broadcaster(s)</t>
  </si>
  <si>
    <r>
      <t xml:space="preserve">Broadcaster  </t>
    </r>
    <r>
      <rPr>
        <b/>
        <sz val="10"/>
        <color rgb="FF1F497D"/>
        <rFont val="Calibri"/>
        <family val="2"/>
        <scheme val="minor"/>
      </rPr>
      <t>(1)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Or Eligible Canadian Distributor
Or Eligible International Entity</t>
    </r>
  </si>
  <si>
    <t>Licence Fee Top-Up</t>
  </si>
  <si>
    <t>Equity</t>
  </si>
  <si>
    <r>
      <t xml:space="preserve">CMF  Contribution  </t>
    </r>
    <r>
      <rPr>
        <b/>
        <sz val="10"/>
        <color rgb="FF1F497D"/>
        <rFont val="Calibri"/>
        <family val="2"/>
        <scheme val="minor"/>
      </rPr>
      <t xml:space="preserve">(BEP only) </t>
    </r>
  </si>
  <si>
    <r>
      <t xml:space="preserve">Canadian
Licence Fee </t>
    </r>
    <r>
      <rPr>
        <b/>
        <sz val="10"/>
        <color rgb="FF1F497D"/>
        <rFont val="Calibri"/>
        <family val="2"/>
        <scheme val="minor"/>
      </rPr>
      <t>(1)</t>
    </r>
  </si>
  <si>
    <t>Distribution Advance
 (Intl. Right)</t>
  </si>
  <si>
    <t>International Entity
(Intl. Right)  Children &amp; Youth only</t>
  </si>
  <si>
    <r>
      <t xml:space="preserve">Start of Term Date </t>
    </r>
    <r>
      <rPr>
        <b/>
        <sz val="10"/>
        <color rgb="FF1F497D"/>
        <rFont val="Calibri"/>
        <family val="2"/>
        <scheme val="minor"/>
      </rPr>
      <t>(1)</t>
    </r>
  </si>
  <si>
    <t>End of Term Date</t>
  </si>
  <si>
    <t>Term Length
(in Months)</t>
  </si>
  <si>
    <r>
      <t xml:space="preserve">Exclusivity
(in Months) </t>
    </r>
    <r>
      <rPr>
        <b/>
        <sz val="10"/>
        <color rgb="FF1F497D"/>
        <rFont val="Calibri"/>
        <family val="2"/>
        <scheme val="minor"/>
      </rPr>
      <t xml:space="preserve"> (2)</t>
    </r>
  </si>
  <si>
    <t>Language</t>
  </si>
  <si>
    <t># 1</t>
  </si>
  <si>
    <t># 2</t>
  </si>
  <si>
    <t># 3</t>
  </si>
  <si>
    <t># 4</t>
  </si>
  <si>
    <t># 5</t>
  </si>
  <si>
    <t># 6</t>
  </si>
  <si>
    <t>Totals:</t>
  </si>
  <si>
    <t>Notes:</t>
  </si>
  <si>
    <t>Maximum Terms, Broadcaster Envelope Program Contributions, Eligible Licence Fees and Minimum Market Contribution (MMC):</t>
  </si>
  <si>
    <t>MMC</t>
  </si>
  <si>
    <r>
      <t>Broadcaster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Or Eligible Canadian Distributor
Or Eligible International Entity</t>
    </r>
  </si>
  <si>
    <t>Maximum Licence Fee  Top-Up</t>
  </si>
  <si>
    <t>Maximum  Investment</t>
  </si>
  <si>
    <t xml:space="preserve">CMF Contribution </t>
  </si>
  <si>
    <t>% CMF Contribution of Budget</t>
  </si>
  <si>
    <t>Canadian
Eligible Licence Fee
(ELF)</t>
  </si>
  <si>
    <r>
      <t xml:space="preserve">Distributor </t>
    </r>
    <r>
      <rPr>
        <b/>
        <sz val="10"/>
        <color rgb="FF1F497D"/>
        <rFont val="Calibri"/>
        <family val="2"/>
        <scheme val="minor"/>
      </rPr>
      <t>(3)</t>
    </r>
  </si>
  <si>
    <r>
      <t xml:space="preserve">Intl. Entity
Children &amp; Youth only </t>
    </r>
    <r>
      <rPr>
        <b/>
        <sz val="10"/>
        <color rgb="FF1F497D"/>
        <rFont val="Calibri"/>
        <family val="2"/>
        <scheme val="minor"/>
      </rPr>
      <t>(3)</t>
    </r>
  </si>
  <si>
    <t>ELF &amp; MMC
% of Budget</t>
  </si>
  <si>
    <t>Total Eligible Triggering Commitment</t>
  </si>
  <si>
    <t>Surplus
Non-trigger amounts</t>
  </si>
  <si>
    <t>Adjusted Term Length</t>
  </si>
  <si>
    <t>Adjusted Exclusivity</t>
  </si>
  <si>
    <t>Revised Start Date of Term</t>
  </si>
  <si>
    <t>N/A</t>
  </si>
  <si>
    <t>Totals :</t>
  </si>
  <si>
    <t>(3): Only the portion required to meet Threshold will appear in the MMC columns (H or I)</t>
  </si>
  <si>
    <t xml:space="preserve"> </t>
  </si>
  <si>
    <t>Licence Term Calculation:</t>
  </si>
  <si>
    <t>÷</t>
  </si>
  <si>
    <t>x</t>
  </si>
  <si>
    <t>=</t>
  </si>
  <si>
    <t>Last Day of Maximum Term:</t>
  </si>
  <si>
    <t>Total Licence</t>
  </si>
  <si>
    <t>Term Months</t>
  </si>
  <si>
    <t>Maximum Term</t>
  </si>
  <si>
    <t>Pro-Rated Amount</t>
  </si>
  <si>
    <t>Eligible Triggering Commitment Threshold:</t>
  </si>
  <si>
    <t>MMC allowable</t>
  </si>
  <si>
    <t>Budget Category</t>
  </si>
  <si>
    <t>Formula</t>
  </si>
  <si>
    <t>Calculated Amount</t>
  </si>
  <si>
    <t xml:space="preserve">Threshold Respected? </t>
  </si>
  <si>
    <t>Over OR
 (Shortfall)</t>
  </si>
  <si>
    <t>Distributor</t>
  </si>
  <si>
    <t xml:space="preserve">International Entity </t>
  </si>
  <si>
    <t xml:space="preserve">     * CHILDREN &amp; YOUTH *</t>
  </si>
  <si>
    <t>Live-action
Budget less than $750,000/hour</t>
  </si>
  <si>
    <t>Lesser of 20% and $130,000/hour</t>
  </si>
  <si>
    <t>Live-action
Budget more than or equal to $750,000/hour</t>
  </si>
  <si>
    <t>$130,000/hour</t>
  </si>
  <si>
    <t>No</t>
  </si>
  <si>
    <t>100% Animated Eligible Projects</t>
  </si>
  <si>
    <t>10% of eligible costs</t>
  </si>
  <si>
    <t>Theatrically-released Animated Feature Films</t>
  </si>
  <si>
    <t>Lesser of 5% and $190,000 by project</t>
  </si>
  <si>
    <t xml:space="preserve">     * DOCUMENTARY *</t>
  </si>
  <si>
    <t>One-offs and mini-series (excluding feature-length documentaries)</t>
  </si>
  <si>
    <t>Lesser of 30% or $100,000/hour</t>
  </si>
  <si>
    <t>Series</t>
  </si>
  <si>
    <t>Lesser of 40% or $100,000/hour</t>
  </si>
  <si>
    <r>
      <t xml:space="preserve">All projects 
over 400K per hour  </t>
    </r>
    <r>
      <rPr>
        <u/>
        <sz val="10"/>
        <rFont val="Calibri"/>
        <family val="2"/>
        <scheme val="minor"/>
      </rPr>
      <t>excl. feature-length docs</t>
    </r>
    <r>
      <rPr>
        <sz val="10"/>
        <rFont val="Calibri"/>
        <family val="2"/>
        <scheme val="minor"/>
      </rPr>
      <t>)</t>
    </r>
  </si>
  <si>
    <t>$100,000/hour</t>
  </si>
  <si>
    <t>Feature-length documentary</t>
  </si>
  <si>
    <t>Lesser of 10% or $90,000/project</t>
  </si>
  <si>
    <t xml:space="preserve">     * DRAMA *</t>
  </si>
  <si>
    <t>All projects less than $800,000/hour</t>
  </si>
  <si>
    <t>Lesser of 45% and $315,000/hour</t>
  </si>
  <si>
    <t>Series or one-off equal/more than $800,000/hour</t>
  </si>
  <si>
    <t>$315,000/hour</t>
  </si>
  <si>
    <t>MOW or miniseries equal/more than $800,000/hour and less than $1,857,143/hour</t>
  </si>
  <si>
    <t>$235,000/hour</t>
  </si>
  <si>
    <t>MOW or miniseries greater than $1,857,143/hour</t>
  </si>
  <si>
    <t>12.5% of budget</t>
  </si>
  <si>
    <t>Theatrically-released Feature Films</t>
  </si>
  <si>
    <t>Lesser of 5% and
$230,000/project</t>
  </si>
  <si>
    <t>1/2-hour pilot greater than $700,000 per 1/2hour</t>
  </si>
  <si>
    <t>$205,000/1/2-hour</t>
  </si>
  <si>
    <t>1-hour pilot greater than $1,750,000/hour</t>
  </si>
  <si>
    <t>$525,000/hour</t>
  </si>
  <si>
    <t>English Regional Production Bonus</t>
  </si>
  <si>
    <t xml:space="preserve">     * VAPA *</t>
  </si>
  <si>
    <t>Northern Production Incentive</t>
  </si>
  <si>
    <t>Budget less than $750,000/hour</t>
  </si>
  <si>
    <t>Lesser of 40% or $240,000/hour</t>
  </si>
  <si>
    <t>Anglophone Minority Incentive</t>
  </si>
  <si>
    <t>Budget more than or equal to $750,000/hour</t>
  </si>
  <si>
    <t>$240,000/hour</t>
  </si>
  <si>
    <t>Maximum CMF Contribution:</t>
  </si>
  <si>
    <t xml:space="preserve">                       </t>
  </si>
  <si>
    <t xml:space="preserve">CMF Contribution    </t>
  </si>
  <si>
    <t>Broadcaster Envelope Program</t>
  </si>
  <si>
    <t>Incentive Programs</t>
  </si>
  <si>
    <t>CMF Maximum</t>
  </si>
  <si>
    <t>Max. Contribution Respected?</t>
  </si>
  <si>
    <t>Over</t>
  </si>
  <si>
    <t xml:space="preserve">BEP Maximum </t>
  </si>
  <si>
    <t xml:space="preserve">Incentive Maximum </t>
  </si>
  <si>
    <t>Envelope Only</t>
  </si>
  <si>
    <t>Max of Eligible Costs</t>
  </si>
  <si>
    <t xml:space="preserve">15% of Eligible Costs 
(Max $1 000 000) Combined Programs 84% </t>
  </si>
  <si>
    <t xml:space="preserve">15% of Eligible Costs (Max $900 000) Combined Programs 84% </t>
  </si>
  <si>
    <t xml:space="preserve">30% of Eligible Costs 
(Max $200 000) Combined Programs 84% </t>
  </si>
  <si>
    <r>
      <rPr>
        <b/>
        <sz val="12"/>
        <rFont val="Calibri"/>
        <family val="2"/>
        <scheme val="minor"/>
      </rPr>
      <t>2025-2026 - Feuille de calcul des exigences seuil pour les déclencheurs admissibles, de la contribution et durée maximale</t>
    </r>
    <r>
      <rPr>
        <b/>
        <sz val="13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 xml:space="preserve">Programme des enveloppes des télédiffuseurs  •  Financements pour la production régionale * </t>
    </r>
    <r>
      <rPr>
        <b/>
        <u/>
        <sz val="14"/>
        <rFont val="Calibri"/>
        <family val="2"/>
        <scheme val="minor"/>
      </rPr>
      <t xml:space="preserve">Langue française </t>
    </r>
    <r>
      <rPr>
        <b/>
        <sz val="14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 xml:space="preserve">
* see different sheet at the bottom for an English project</t>
    </r>
  </si>
  <si>
    <t>Titre du projet :</t>
  </si>
  <si>
    <t>No du projet :</t>
  </si>
  <si>
    <t>Date :</t>
  </si>
  <si>
    <t>Complétez toutes les cellules vertes</t>
  </si>
  <si>
    <t>Devis/Coût final de production</t>
  </si>
  <si>
    <t>Nombre 
d'épisodes</t>
  </si>
  <si>
    <t>Durée des épisodes
(en min.)</t>
  </si>
  <si>
    <t>Nombre total d'heures</t>
  </si>
  <si>
    <t>Devis/Heure</t>
  </si>
  <si>
    <t>Les diffuseurs sont-ils tous éducatifs ?</t>
  </si>
  <si>
    <t>Y a-t-il une mesure incitative ?</t>
  </si>
  <si>
    <t>Calculateur de carbone requis ?</t>
  </si>
  <si>
    <t>Vidéodescription requise?</t>
  </si>
  <si>
    <t>Catégorie de devis</t>
  </si>
  <si>
    <t>(1) : Entrez les licences en premier et par ordre croissant de début des droits</t>
  </si>
  <si>
    <t>(2) : Lorsque le projet cumule des licences en français ET en anglais, ne pas compléter la colonne "Exclusivité"</t>
  </si>
  <si>
    <t>Pour chaque télédiffuseur canadien</t>
  </si>
  <si>
    <r>
      <t xml:space="preserve">Nom du télédiffuseur </t>
    </r>
    <r>
      <rPr>
        <b/>
        <sz val="10"/>
        <color rgb="FF1F497D"/>
        <rFont val="Calibri"/>
        <family val="2"/>
        <scheme val="minor"/>
      </rPr>
      <t>(1)</t>
    </r>
    <r>
      <rPr>
        <b/>
        <sz val="10"/>
        <rFont val="Calibri"/>
        <family val="2"/>
        <scheme val="minor"/>
      </rPr>
      <t xml:space="preserve">
ou Distributeur canadien admissible
ou Entité internationale admissible</t>
    </r>
  </si>
  <si>
    <t>Supplément de droits de diffusion</t>
  </si>
  <si>
    <t>Participation au capital</t>
  </si>
  <si>
    <r>
      <t xml:space="preserve">Contribution FMC -
</t>
    </r>
    <r>
      <rPr>
        <b/>
        <sz val="8"/>
        <color rgb="FF1F497D"/>
        <rFont val="Calibri"/>
        <family val="2"/>
        <scheme val="minor"/>
      </rPr>
      <t>Env. des télédiffuseurs seulement</t>
    </r>
  </si>
  <si>
    <t>Droits de diffusion admissibles (canadiens)</t>
  </si>
  <si>
    <t>Avance de distribution
(droits int.)</t>
  </si>
  <si>
    <t>Entité internationale
(droits int.)
Enfants et jeunes seulement</t>
  </si>
  <si>
    <r>
      <t xml:space="preserve">Date de début de la période </t>
    </r>
    <r>
      <rPr>
        <b/>
        <sz val="10"/>
        <color rgb="FF1F497D"/>
        <rFont val="Calibri"/>
        <family val="2"/>
        <scheme val="minor"/>
      </rPr>
      <t>(1)</t>
    </r>
  </si>
  <si>
    <t>Date de fin de la période</t>
  </si>
  <si>
    <t>Durée de la période (en mois)</t>
  </si>
  <si>
    <r>
      <t xml:space="preserve">Exclusivité 
(en mois) </t>
    </r>
    <r>
      <rPr>
        <b/>
        <sz val="10"/>
        <color rgb="FF1F497D"/>
        <rFont val="Calibri"/>
        <family val="2"/>
        <scheme val="minor"/>
      </rPr>
      <t>(2)</t>
    </r>
  </si>
  <si>
    <t>Langue</t>
  </si>
  <si>
    <t>n° 1</t>
  </si>
  <si>
    <t>n° 2</t>
  </si>
  <si>
    <t>n° 3</t>
  </si>
  <si>
    <t>n° 4</t>
  </si>
  <si>
    <t>n° 5</t>
  </si>
  <si>
    <t>n° 6</t>
  </si>
  <si>
    <t>Totaux :</t>
  </si>
  <si>
    <t>Remarques :</t>
  </si>
  <si>
    <t>Durées maximales, contributions du FMC, Droits de diffusion admissibles et Contribution minimale du marché (« CMM ») :</t>
  </si>
  <si>
    <t>CMM</t>
  </si>
  <si>
    <r>
      <t>Nom du télédiffuseur</t>
    </r>
    <r>
      <rPr>
        <b/>
        <sz val="10"/>
        <rFont val="Calibri"/>
        <family val="2"/>
        <scheme val="minor"/>
      </rPr>
      <t xml:space="preserve">
ou Distributeur canadien admissible
ou Entité internationale admissible</t>
    </r>
  </si>
  <si>
    <t>Montant admissible du supplément de droits de diffusion</t>
  </si>
  <si>
    <t>Montant admissible de la participation au capital</t>
  </si>
  <si>
    <t>Contribution  FMC admissible</t>
  </si>
  <si>
    <t xml:space="preserve"> % Contribution du FMC sur le devis</t>
  </si>
  <si>
    <t>Droits de diffusion admissibles (DDA)
canadiens</t>
  </si>
  <si>
    <r>
      <t xml:space="preserve">Distributeur
CMM </t>
    </r>
    <r>
      <rPr>
        <b/>
        <sz val="10"/>
        <color theme="3"/>
        <rFont val="Calibri"/>
        <family val="2"/>
        <scheme val="minor"/>
      </rPr>
      <t>(3)</t>
    </r>
  </si>
  <si>
    <r>
      <t xml:space="preserve">Entité internationale
Enfants et jeunes (E&amp;J) </t>
    </r>
    <r>
      <rPr>
        <b/>
        <sz val="10"/>
        <color rgb="FF1F497D"/>
        <rFont val="Calibri"/>
        <family val="2"/>
        <scheme val="minor"/>
      </rPr>
      <t>(3)</t>
    </r>
  </si>
  <si>
    <t xml:space="preserve"> % sur le devis des
DDA &amp; CMM</t>
  </si>
  <si>
    <t>Total pour les déclencheurs admissibles</t>
  </si>
  <si>
    <t>Surplus
Montants non déclencheurs</t>
  </si>
  <si>
    <t>Durée ajustée</t>
  </si>
  <si>
    <t>Durée d'exclusivité ajustée</t>
  </si>
  <si>
    <t>Date révisée du début de la durée</t>
  </si>
  <si>
    <t>S/O</t>
  </si>
  <si>
    <t>Total env. télédiffuseurs</t>
  </si>
  <si>
    <t>(3) : Seul le montant requis pour atteindre l'exigence seuil apparaîtra dans les colonnes des CMM (H ou I)</t>
  </si>
  <si>
    <t xml:space="preserve">Calcul de la durée des droits de diffusion : </t>
  </si>
  <si>
    <t>Dernier jour de la durée maximale</t>
  </si>
  <si>
    <t>Montant total des droits de diffusion</t>
  </si>
  <si>
    <t>Durée
(en mois)</t>
  </si>
  <si>
    <t>Durée maximale</t>
  </si>
  <si>
    <t>Montant proportionnel</t>
  </si>
  <si>
    <t>Durée 
(en mois)</t>
  </si>
  <si>
    <t>Exigence seuil en matière de droits de diffusion :</t>
  </si>
  <si>
    <t>CMM permise</t>
  </si>
  <si>
    <t>Formule</t>
  </si>
  <si>
    <t>Calcul du montant</t>
  </si>
  <si>
    <t xml:space="preserve">Exigence seuil respectée ? </t>
  </si>
  <si>
    <t>Montant excédentaire OU (insuffisant)</t>
  </si>
  <si>
    <t>Distributeur</t>
  </si>
  <si>
    <t>Entité internationale</t>
  </si>
  <si>
    <t>* Émissions pour enfants et jeunes *</t>
  </si>
  <si>
    <t>Tournage en direct, devis de moins de 750 000 $/heure</t>
  </si>
  <si>
    <t>Tournage en direct, devis égal ou supérieur à 750 000 $/heure</t>
  </si>
  <si>
    <t>Animation (excl. longs métrages d'animation lancés en salle)</t>
  </si>
  <si>
    <t>Longs métrages d’animation lancés en salle</t>
  </si>
  <si>
    <t>Moindre des 2:
5% des coûts admissibles ou 
120 000 $</t>
  </si>
  <si>
    <t>* Documentaires *</t>
  </si>
  <si>
    <r>
      <t>Devis inférieur à 100 000 $/heure (</t>
    </r>
    <r>
      <rPr>
        <u/>
        <sz val="10"/>
        <color indexed="8"/>
        <rFont val="Calibri"/>
        <family val="2"/>
        <scheme val="minor"/>
      </rPr>
      <t>excl. long métrage</t>
    </r>
    <r>
      <rPr>
        <sz val="10"/>
        <color indexed="8"/>
        <rFont val="Calibri"/>
        <family val="2"/>
        <scheme val="minor"/>
      </rPr>
      <t>)</t>
    </r>
  </si>
  <si>
    <r>
      <t>Devis entre 100 000 $ et 400 000 $/heure (</t>
    </r>
    <r>
      <rPr>
        <u/>
        <sz val="10"/>
        <color indexed="8"/>
        <rFont val="Calibri"/>
        <family val="2"/>
        <scheme val="minor"/>
      </rPr>
      <t>excl. long métrage</t>
    </r>
    <r>
      <rPr>
        <sz val="10"/>
        <color indexed="8"/>
        <rFont val="Calibri"/>
        <family val="2"/>
        <scheme val="minor"/>
      </rPr>
      <t>)</t>
    </r>
  </si>
  <si>
    <r>
      <t>Devis supérieur à 400 000 $/heure (</t>
    </r>
    <r>
      <rPr>
        <u/>
        <sz val="10"/>
        <color indexed="8"/>
        <rFont val="Calibri"/>
        <family val="2"/>
        <scheme val="minor"/>
      </rPr>
      <t>excl. long métrage</t>
    </r>
    <r>
      <rPr>
        <sz val="10"/>
        <color indexed="8"/>
        <rFont val="Calibri"/>
        <family val="2"/>
        <scheme val="minor"/>
      </rPr>
      <t>)</t>
    </r>
  </si>
  <si>
    <t>Moindre des 2: 15% des coûts admissibles ou 
60 000$/heure</t>
  </si>
  <si>
    <t>Long métrage documentaire</t>
  </si>
  <si>
    <r>
      <t>Moindre des 2: 10% des coûts admissibles ou 
60 000$/</t>
    </r>
    <r>
      <rPr>
        <sz val="10"/>
        <rFont val="Calibri"/>
        <family val="2"/>
        <scheme val="minor"/>
      </rPr>
      <t xml:space="preserve"> par projet</t>
    </r>
  </si>
  <si>
    <t>* Variétés et Arts de la scène *</t>
  </si>
  <si>
    <t>Devis inférieur à 750 000 $/heure</t>
  </si>
  <si>
    <t>Oui</t>
  </si>
  <si>
    <t>Devis égal ou supérieur à 750 000 $/heure</t>
  </si>
  <si>
    <t>Non</t>
  </si>
  <si>
    <t>Arts de la scène (de toutes envergures budgétaires)</t>
  </si>
  <si>
    <t>* Dramatiques *</t>
  </si>
  <si>
    <t>Devis inférieur à 250 000 $/heure</t>
  </si>
  <si>
    <t>Mesure incitative pour les projets nordiques</t>
  </si>
  <si>
    <t>Devis égal ou supérieur à 250 000 $ et inférieur à 800 000 $/heure</t>
  </si>
  <si>
    <t>Mesure incitative pour la production régionale de langue française au Québec</t>
  </si>
  <si>
    <t>Devis égal ou supérieur à 800 000 $/heure</t>
  </si>
  <si>
    <t>Moindre des 2:
20% des coûts admissibles ou 
195 000 $/heure</t>
  </si>
  <si>
    <t>Téléfilms</t>
  </si>
  <si>
    <t>Contribution maximale du FMC :</t>
  </si>
  <si>
    <t>Contribution du FMC</t>
  </si>
  <si>
    <t xml:space="preserve">Programme des enveloppes des télédiffuseurs </t>
  </si>
  <si>
    <t>Mesure incitative</t>
  </si>
  <si>
    <t>Contribution maximale du FMC</t>
  </si>
  <si>
    <t>Contribution maximale respectée?</t>
  </si>
  <si>
    <t>Montant excédentaire</t>
  </si>
  <si>
    <t>Contribution maximale des envevelopes</t>
  </si>
  <si>
    <t>Maximum de la mesure</t>
  </si>
  <si>
    <t>Enveloppes seulement</t>
  </si>
  <si>
    <t>Maximum des dépenses admissibles</t>
  </si>
  <si>
    <t>30% des dépenses admissibles (Max 200 000 $) (84% si combiné avec autres programmes)</t>
  </si>
  <si>
    <r>
      <t xml:space="preserve">Mesure incitative pour la production régionale de langue française au Québec
</t>
    </r>
    <r>
      <rPr>
        <b/>
        <sz val="10"/>
        <color rgb="FF1F497D"/>
        <rFont val="Calibri"/>
        <family val="2"/>
        <scheme val="minor"/>
      </rPr>
      <t>(4)</t>
    </r>
  </si>
  <si>
    <t>15% des dépenses admissibles (Max 225 000 $) (84% si combiné avec autres programmes)</t>
  </si>
  <si>
    <t>(4) : Le projet doit disposer d’une allocation d’enveloppe des télédiffuseurs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</si>
</sst>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5" formatCode="#,##0\ &quot;$&quot;_);\(#,##0\ &quot;$&quot;\)"/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_-* #,##0_-;\-* #,##0_-;_-* &quot;-&quot;_-;_-@_-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&quot;$&quot;#,##0.00_);\(&quot;$&quot;#,##0.00\)"/>
    <numFmt numFmtId="168" formatCode="0.0%"/>
    <numFmt numFmtId="169" formatCode="[$-409]d\-mmm\-yyyy;@"/>
    <numFmt numFmtId="170" formatCode=";;;"/>
    <numFmt numFmtId="171" formatCode="&quot;$&quot;#,##0"/>
    <numFmt numFmtId="172" formatCode="yyyy\-mm\-dd;@"/>
    <numFmt numFmtId="173" formatCode="[$$-1009]#,##0"/>
    <numFmt numFmtId="174" formatCode="#,##0.0_);\(#,##0.0\)"/>
    <numFmt numFmtId="175" formatCode="[$$-409]#,##0_);\([$$-409]#,##0\)"/>
    <numFmt numFmtId="176" formatCode="[$-40C]d\-mmm\-yyyy;@"/>
    <numFmt numFmtId="177" formatCode="[$$-1009]#,##0;\-[$$-1009]#,##0"/>
    <numFmt numFmtId="178" formatCode="#,##0\ [$$-C0C]_);\(#,##0\ [$$-C0C]\)"/>
    <numFmt numFmtId="179" formatCode="#,##0.00\ [$$-C0C]_);\(#,##0.00\ [$$-C0C]\)"/>
    <numFmt numFmtId="180" formatCode="#,##0.00\ [$$-C0C]_-"/>
    <numFmt numFmtId="181" formatCode="#,##0\ &quot;$&quot;"/>
    <numFmt numFmtId="182" formatCode="_ * #,##0_)\ [$$-C0C]_ ;_ * \(#,##0\)\ [$$-C0C]_ ;_ * &quot;-&quot;??_)\ [$$-C0C]_ ;_ @_ "/>
    <numFmt numFmtId="183" formatCode="#,##0\ [$$-C0C]"/>
    <numFmt numFmtId="184" formatCode="#,##0\ [$$-C0C]_);[Red]\(#,##0\ [$$-C0C]\)"/>
  </numFmts>
  <fonts count="75" x14ac:knownFonts="1">
    <font>
      <sz val="12"/>
      <name val="Arial"/>
    </font>
    <font>
      <sz val="12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b/>
      <i/>
      <sz val="10"/>
      <color rgb="FFFF0000"/>
      <name val="Arial"/>
      <family val="2"/>
    </font>
    <font>
      <b/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8.5"/>
      <color rgb="FFFF0000"/>
      <name val="Arial"/>
      <family val="2"/>
    </font>
    <font>
      <sz val="8.5"/>
      <color rgb="FFFF000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indexed="8"/>
      <name val="Calibri"/>
      <family val="2"/>
      <scheme val="minor"/>
    </font>
    <font>
      <u/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u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u/>
      <sz val="14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i/>
      <sz val="10"/>
      <color theme="3"/>
      <name val="Calibri"/>
      <family val="2"/>
    </font>
    <font>
      <b/>
      <sz val="10"/>
      <color rgb="FF1F497D"/>
      <name val="Calibri"/>
      <family val="2"/>
      <scheme val="minor"/>
    </font>
    <font>
      <b/>
      <i/>
      <sz val="10"/>
      <color rgb="FF1F497D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sz val="9.5"/>
      <name val="Arial"/>
      <family val="2"/>
    </font>
    <font>
      <i/>
      <sz val="9"/>
      <name val="Calibri"/>
      <family val="2"/>
      <scheme val="minor"/>
    </font>
    <font>
      <b/>
      <i/>
      <sz val="10"/>
      <color rgb="FF1F497D"/>
      <name val="Calibri"/>
      <family val="2"/>
    </font>
    <font>
      <b/>
      <sz val="8"/>
      <color rgb="FF1F497D"/>
      <name val="Calibri"/>
      <family val="2"/>
      <scheme val="minor"/>
    </font>
    <font>
      <b/>
      <i/>
      <sz val="1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4750C"/>
        <bgColor indexed="64"/>
      </patternFill>
    </fill>
    <fill>
      <patternFill patternType="solid">
        <fgColor rgb="FFF8A15A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E1EB8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5" fontId="10" fillId="0" borderId="0" xfId="2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165" fontId="11" fillId="0" borderId="0" xfId="2" applyFont="1" applyFill="1" applyBorder="1" applyAlignment="1" applyProtection="1">
      <alignment horizontal="left" vertical="center" wrapText="1"/>
    </xf>
    <xf numFmtId="165" fontId="19" fillId="0" borderId="0" xfId="2" applyFont="1" applyFill="1" applyBorder="1" applyAlignment="1" applyProtection="1">
      <alignment vertical="center" wrapText="1"/>
    </xf>
    <xf numFmtId="0" fontId="20" fillId="0" borderId="0" xfId="0" applyFont="1" applyAlignment="1">
      <alignment vertical="center" wrapText="1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wrapText="1"/>
    </xf>
    <xf numFmtId="167" fontId="3" fillId="0" borderId="0" xfId="2" applyNumberFormat="1" applyFont="1" applyFill="1" applyBorder="1" applyAlignment="1" applyProtection="1">
      <alignment horizontal="center" vertical="center" wrapText="1"/>
    </xf>
    <xf numFmtId="165" fontId="3" fillId="0" borderId="0" xfId="2" applyFont="1" applyFill="1" applyBorder="1" applyAlignment="1" applyProtection="1">
      <alignment horizontal="center" vertical="center" wrapText="1"/>
    </xf>
    <xf numFmtId="37" fontId="3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0" fontId="6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3" fillId="6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167" fontId="24" fillId="0" borderId="0" xfId="2" applyNumberFormat="1" applyFont="1" applyFill="1" applyBorder="1" applyAlignment="1" applyProtection="1">
      <alignment horizontal="center" vertical="center" wrapText="1"/>
    </xf>
    <xf numFmtId="165" fontId="25" fillId="0" borderId="0" xfId="2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vertical="center"/>
    </xf>
    <xf numFmtId="165" fontId="23" fillId="0" borderId="4" xfId="2" applyFont="1" applyFill="1" applyBorder="1" applyAlignment="1" applyProtection="1">
      <alignment horizontal="right" vertical="center" wrapText="1"/>
    </xf>
    <xf numFmtId="165" fontId="23" fillId="0" borderId="4" xfId="2" applyFont="1" applyFill="1" applyBorder="1" applyAlignment="1" applyProtection="1">
      <alignment vertical="center" wrapText="1"/>
    </xf>
    <xf numFmtId="0" fontId="24" fillId="0" borderId="4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165" fontId="12" fillId="0" borderId="0" xfId="2" applyFont="1" applyFill="1" applyBorder="1" applyAlignment="1" applyProtection="1">
      <alignment horizontal="left" vertical="center"/>
    </xf>
    <xf numFmtId="0" fontId="6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9" fillId="0" borderId="1" xfId="0" applyFont="1" applyBorder="1" applyAlignment="1">
      <alignment horizontal="right" vertical="center" wrapText="1"/>
    </xf>
    <xf numFmtId="0" fontId="29" fillId="0" borderId="5" xfId="0" applyFont="1" applyBorder="1" applyAlignment="1">
      <alignment horizontal="right" vertical="center" wrapText="1"/>
    </xf>
    <xf numFmtId="0" fontId="29" fillId="0" borderId="13" xfId="0" applyFont="1" applyBorder="1" applyAlignment="1">
      <alignment horizontal="right" vertical="center" wrapText="1"/>
    </xf>
    <xf numFmtId="172" fontId="31" fillId="2" borderId="8" xfId="0" applyNumberFormat="1" applyFont="1" applyFill="1" applyBorder="1" applyAlignment="1" applyProtection="1">
      <alignment horizontal="center" vertical="center" wrapText="1"/>
      <protection locked="0"/>
    </xf>
    <xf numFmtId="9" fontId="29" fillId="3" borderId="5" xfId="3" applyFont="1" applyFill="1" applyBorder="1" applyAlignment="1" applyProtection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10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39" fillId="6" borderId="4" xfId="0" applyFont="1" applyFill="1" applyBorder="1" applyAlignment="1">
      <alignment horizontal="right" vertical="center" wrapText="1"/>
    </xf>
    <xf numFmtId="0" fontId="40" fillId="6" borderId="4" xfId="0" applyFont="1" applyFill="1" applyBorder="1" applyAlignment="1">
      <alignment horizontal="left" vertical="center"/>
    </xf>
    <xf numFmtId="0" fontId="40" fillId="6" borderId="0" xfId="0" applyFont="1" applyFill="1" applyAlignment="1">
      <alignment horizontal="left" vertical="center"/>
    </xf>
    <xf numFmtId="0" fontId="44" fillId="0" borderId="0" xfId="0" applyFont="1" applyAlignment="1">
      <alignment vertical="center"/>
    </xf>
    <xf numFmtId="175" fontId="30" fillId="5" borderId="5" xfId="2" applyNumberFormat="1" applyFont="1" applyFill="1" applyBorder="1" applyAlignment="1" applyProtection="1">
      <alignment horizontal="center" vertical="center" wrapText="1"/>
      <protection locked="0"/>
    </xf>
    <xf numFmtId="37" fontId="30" fillId="2" borderId="5" xfId="2" applyNumberFormat="1" applyFont="1" applyFill="1" applyBorder="1" applyAlignment="1" applyProtection="1">
      <alignment horizontal="center" vertical="center" wrapText="1"/>
      <protection locked="0"/>
    </xf>
    <xf numFmtId="174" fontId="30" fillId="3" borderId="5" xfId="2" applyNumberFormat="1" applyFont="1" applyFill="1" applyBorder="1" applyAlignment="1" applyProtection="1">
      <alignment horizontal="center" vertical="center" wrapText="1"/>
    </xf>
    <xf numFmtId="49" fontId="30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30" fillId="2" borderId="5" xfId="0" applyFont="1" applyFill="1" applyBorder="1" applyAlignment="1" applyProtection="1">
      <alignment horizontal="center" vertical="center" wrapText="1"/>
      <protection locked="0"/>
    </xf>
    <xf numFmtId="0" fontId="30" fillId="2" borderId="5" xfId="0" applyFont="1" applyFill="1" applyBorder="1" applyAlignment="1" applyProtection="1">
      <alignment horizontal="center" vertical="center"/>
      <protection locked="0"/>
    </xf>
    <xf numFmtId="173" fontId="29" fillId="0" borderId="19" xfId="2" applyNumberFormat="1" applyFont="1" applyFill="1" applyBorder="1" applyAlignment="1" applyProtection="1">
      <alignment horizontal="center" vertical="center" wrapText="1"/>
    </xf>
    <xf numFmtId="173" fontId="29" fillId="0" borderId="19" xfId="2" applyNumberFormat="1" applyFont="1" applyFill="1" applyBorder="1" applyAlignment="1" applyProtection="1">
      <alignment horizontal="right" vertical="center" wrapText="1"/>
    </xf>
    <xf numFmtId="0" fontId="29" fillId="15" borderId="5" xfId="0" applyFont="1" applyFill="1" applyBorder="1" applyAlignment="1">
      <alignment horizontal="center" vertical="center" wrapText="1"/>
    </xf>
    <xf numFmtId="0" fontId="29" fillId="16" borderId="5" xfId="0" applyFont="1" applyFill="1" applyBorder="1" applyAlignment="1">
      <alignment horizontal="center" vertical="center" wrapText="1"/>
    </xf>
    <xf numFmtId="173" fontId="30" fillId="3" borderId="5" xfId="4" applyNumberFormat="1" applyFont="1" applyFill="1" applyBorder="1" applyAlignment="1" applyProtection="1">
      <alignment horizontal="center" vertical="center"/>
    </xf>
    <xf numFmtId="5" fontId="29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" applyFont="1"/>
    <xf numFmtId="0" fontId="30" fillId="0" borderId="0" xfId="5" applyFont="1" applyAlignment="1">
      <alignment horizontal="center"/>
    </xf>
    <xf numFmtId="0" fontId="30" fillId="0" borderId="0" xfId="5" applyFont="1" applyAlignment="1">
      <alignment vertical="center"/>
    </xf>
    <xf numFmtId="0" fontId="30" fillId="0" borderId="0" xfId="5" applyFont="1" applyAlignment="1">
      <alignment horizontal="center" vertical="center"/>
    </xf>
    <xf numFmtId="0" fontId="34" fillId="0" borderId="0" xfId="5" applyFont="1" applyAlignment="1">
      <alignment vertical="center"/>
    </xf>
    <xf numFmtId="0" fontId="46" fillId="0" borderId="0" xfId="5" applyFont="1" applyAlignment="1">
      <alignment vertical="center"/>
    </xf>
    <xf numFmtId="5" fontId="30" fillId="0" borderId="0" xfId="5" applyNumberFormat="1" applyFont="1" applyAlignment="1">
      <alignment vertical="center"/>
    </xf>
    <xf numFmtId="0" fontId="30" fillId="0" borderId="4" xfId="5" applyFont="1" applyBorder="1" applyAlignment="1">
      <alignment vertical="center"/>
    </xf>
    <xf numFmtId="0" fontId="35" fillId="0" borderId="5" xfId="5" applyFont="1" applyBorder="1" applyAlignment="1">
      <alignment horizontal="center" vertical="center" wrapText="1"/>
    </xf>
    <xf numFmtId="0" fontId="34" fillId="0" borderId="0" xfId="5" applyFont="1" applyAlignment="1">
      <alignment vertical="center" wrapText="1"/>
    </xf>
    <xf numFmtId="0" fontId="34" fillId="6" borderId="0" xfId="5" applyFont="1" applyFill="1" applyAlignment="1">
      <alignment horizontal="right" vertical="center" wrapText="1"/>
    </xf>
    <xf numFmtId="0" fontId="34" fillId="6" borderId="0" xfId="5" applyFont="1" applyFill="1" applyAlignment="1">
      <alignment horizontal="center" vertical="center" wrapText="1"/>
    </xf>
    <xf numFmtId="0" fontId="40" fillId="6" borderId="0" xfId="5" applyFont="1" applyFill="1" applyAlignment="1">
      <alignment vertical="center"/>
    </xf>
    <xf numFmtId="167" fontId="30" fillId="0" borderId="0" xfId="5" applyNumberFormat="1" applyFont="1" applyAlignment="1">
      <alignment horizontal="center" vertical="center" wrapText="1"/>
    </xf>
    <xf numFmtId="0" fontId="29" fillId="0" borderId="0" xfId="5" applyFont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165" fontId="34" fillId="0" borderId="4" xfId="2" applyFont="1" applyFill="1" applyBorder="1" applyAlignment="1" applyProtection="1">
      <alignment vertical="center" wrapText="1"/>
    </xf>
    <xf numFmtId="165" fontId="34" fillId="6" borderId="4" xfId="2" applyFont="1" applyFill="1" applyBorder="1" applyAlignment="1" applyProtection="1">
      <alignment horizontal="right" vertical="center" wrapText="1"/>
    </xf>
    <xf numFmtId="0" fontId="34" fillId="6" borderId="4" xfId="5" applyFont="1" applyFill="1" applyBorder="1" applyAlignment="1">
      <alignment horizontal="right" vertical="center" wrapText="1"/>
    </xf>
    <xf numFmtId="0" fontId="40" fillId="6" borderId="4" xfId="5" applyFont="1" applyFill="1" applyBorder="1" applyAlignment="1">
      <alignment horizontal="left" vertical="center"/>
    </xf>
    <xf numFmtId="165" fontId="36" fillId="0" borderId="0" xfId="2" applyFont="1" applyFill="1" applyBorder="1" applyAlignment="1" applyProtection="1">
      <alignment vertical="top"/>
    </xf>
    <xf numFmtId="0" fontId="29" fillId="0" borderId="0" xfId="5" applyFont="1" applyAlignment="1">
      <alignment vertical="center"/>
    </xf>
    <xf numFmtId="0" fontId="34" fillId="0" borderId="0" xfId="5" applyFont="1" applyAlignment="1">
      <alignment horizontal="right" vertical="center" wrapText="1"/>
    </xf>
    <xf numFmtId="0" fontId="49" fillId="0" borderId="0" xfId="5" applyFont="1" applyAlignment="1">
      <alignment horizontal="center" vertical="center"/>
    </xf>
    <xf numFmtId="179" fontId="34" fillId="0" borderId="0" xfId="2" applyNumberFormat="1" applyFont="1" applyFill="1" applyBorder="1" applyAlignment="1" applyProtection="1">
      <alignment horizontal="center" vertical="center" wrapText="1"/>
    </xf>
    <xf numFmtId="168" fontId="34" fillId="0" borderId="0" xfId="3" applyNumberFormat="1" applyFont="1" applyFill="1" applyBorder="1" applyAlignment="1" applyProtection="1">
      <alignment horizontal="center" vertical="center" wrapText="1"/>
    </xf>
    <xf numFmtId="180" fontId="34" fillId="0" borderId="0" xfId="2" applyNumberFormat="1" applyFont="1" applyFill="1" applyBorder="1" applyAlignment="1" applyProtection="1">
      <alignment horizontal="center" vertical="center" wrapText="1"/>
    </xf>
    <xf numFmtId="180" fontId="34" fillId="0" borderId="10" xfId="2" applyNumberFormat="1" applyFont="1" applyFill="1" applyBorder="1" applyAlignment="1" applyProtection="1">
      <alignment horizontal="center" vertical="center" wrapText="1"/>
    </xf>
    <xf numFmtId="0" fontId="35" fillId="0" borderId="0" xfId="5" applyFont="1" applyAlignment="1">
      <alignment horizontal="right" vertical="center" wrapText="1"/>
    </xf>
    <xf numFmtId="0" fontId="34" fillId="0" borderId="0" xfId="5" applyFont="1" applyAlignment="1">
      <alignment horizontal="center" vertical="center"/>
    </xf>
    <xf numFmtId="0" fontId="35" fillId="0" borderId="9" xfId="5" applyFont="1" applyBorder="1" applyAlignment="1">
      <alignment horizontal="center" vertical="center" wrapText="1"/>
    </xf>
    <xf numFmtId="0" fontId="35" fillId="0" borderId="0" xfId="5" applyFont="1"/>
    <xf numFmtId="0" fontId="35" fillId="0" borderId="4" xfId="5" applyFont="1" applyBorder="1"/>
    <xf numFmtId="0" fontId="35" fillId="6" borderId="4" xfId="5" applyFont="1" applyFill="1" applyBorder="1"/>
    <xf numFmtId="0" fontId="35" fillId="6" borderId="4" xfId="5" applyFont="1" applyFill="1" applyBorder="1" applyAlignment="1">
      <alignment wrapText="1"/>
    </xf>
    <xf numFmtId="0" fontId="35" fillId="0" borderId="0" xfId="5" applyFont="1" applyAlignment="1">
      <alignment vertical="center" wrapText="1"/>
    </xf>
    <xf numFmtId="0" fontId="34" fillId="0" borderId="0" xfId="5" applyFont="1" applyAlignment="1">
      <alignment horizontal="right" vertical="center"/>
    </xf>
    <xf numFmtId="164" fontId="34" fillId="0" borderId="0" xfId="1" applyFont="1" applyFill="1" applyBorder="1" applyAlignment="1" applyProtection="1">
      <alignment vertical="center" wrapText="1"/>
    </xf>
    <xf numFmtId="0" fontId="34" fillId="0" borderId="0" xfId="5" applyFont="1" applyAlignment="1">
      <alignment horizontal="left" vertical="center"/>
    </xf>
    <xf numFmtId="0" fontId="35" fillId="0" borderId="0" xfId="5" applyFont="1" applyAlignment="1">
      <alignment vertical="center"/>
    </xf>
    <xf numFmtId="181" fontId="29" fillId="0" borderId="0" xfId="2" applyNumberFormat="1" applyFont="1" applyFill="1" applyBorder="1" applyAlignment="1" applyProtection="1">
      <alignment horizontal="right" vertical="center" wrapText="1"/>
    </xf>
    <xf numFmtId="181" fontId="29" fillId="0" borderId="26" xfId="2" applyNumberFormat="1" applyFont="1" applyFill="1" applyBorder="1" applyAlignment="1" applyProtection="1">
      <alignment horizontal="center" vertical="center" wrapText="1"/>
    </xf>
    <xf numFmtId="0" fontId="34" fillId="2" borderId="5" xfId="5" applyFont="1" applyFill="1" applyBorder="1" applyAlignment="1" applyProtection="1">
      <alignment horizontal="center" vertical="center" wrapText="1"/>
      <protection locked="0"/>
    </xf>
    <xf numFmtId="0" fontId="30" fillId="2" borderId="5" xfId="5" applyFont="1" applyFill="1" applyBorder="1" applyAlignment="1" applyProtection="1">
      <alignment horizontal="center" vertical="center" wrapText="1"/>
      <protection locked="0"/>
    </xf>
    <xf numFmtId="5" fontId="30" fillId="2" borderId="5" xfId="2" applyNumberFormat="1" applyFont="1" applyFill="1" applyBorder="1" applyAlignment="1" applyProtection="1">
      <alignment horizontal="center" vertical="center" wrapText="1"/>
      <protection locked="0"/>
    </xf>
    <xf numFmtId="49" fontId="34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35" fillId="0" borderId="12" xfId="5" applyFont="1" applyBorder="1" applyAlignment="1">
      <alignment horizontal="center" vertical="center" wrapText="1"/>
    </xf>
    <xf numFmtId="0" fontId="29" fillId="0" borderId="12" xfId="5" applyFont="1" applyBorder="1" applyAlignment="1">
      <alignment horizontal="center" vertical="center" wrapText="1"/>
    </xf>
    <xf numFmtId="0" fontId="29" fillId="16" borderId="12" xfId="5" applyFont="1" applyFill="1" applyBorder="1" applyAlignment="1">
      <alignment horizontal="center" vertical="center" wrapText="1"/>
    </xf>
    <xf numFmtId="0" fontId="29" fillId="10" borderId="12" xfId="5" applyFont="1" applyFill="1" applyBorder="1" applyAlignment="1">
      <alignment horizontal="center" vertical="center" wrapText="1"/>
    </xf>
    <xf numFmtId="0" fontId="28" fillId="0" borderId="0" xfId="5" applyFont="1" applyAlignment="1">
      <alignment vertical="center"/>
    </xf>
    <xf numFmtId="165" fontId="28" fillId="0" borderId="0" xfId="2" applyFont="1" applyFill="1" applyBorder="1" applyAlignment="1" applyProtection="1">
      <alignment vertical="center" wrapText="1"/>
    </xf>
    <xf numFmtId="0" fontId="28" fillId="0" borderId="0" xfId="5" applyFont="1" applyAlignment="1">
      <alignment horizontal="center" vertical="center"/>
    </xf>
    <xf numFmtId="0" fontId="27" fillId="0" borderId="0" xfId="5" applyFont="1" applyAlignment="1">
      <alignment horizontal="left" vertical="center"/>
    </xf>
    <xf numFmtId="0" fontId="34" fillId="0" borderId="0" xfId="5" applyFont="1" applyAlignment="1" applyProtection="1">
      <alignment vertical="center"/>
      <protection locked="0"/>
    </xf>
    <xf numFmtId="164" fontId="34" fillId="0" borderId="0" xfId="1" applyFont="1" applyFill="1" applyBorder="1" applyAlignment="1" applyProtection="1">
      <alignment vertical="center" wrapText="1"/>
      <protection locked="0"/>
    </xf>
    <xf numFmtId="0" fontId="30" fillId="0" borderId="0" xfId="5" applyFont="1" applyAlignment="1">
      <alignment horizontal="right" vertical="center" wrapText="1"/>
    </xf>
    <xf numFmtId="0" fontId="34" fillId="0" borderId="0" xfId="5" applyFont="1" applyAlignment="1">
      <alignment horizontal="center" vertical="center" wrapText="1"/>
    </xf>
    <xf numFmtId="182" fontId="30" fillId="3" borderId="5" xfId="6" applyNumberFormat="1" applyFont="1" applyFill="1" applyBorder="1" applyAlignment="1" applyProtection="1">
      <alignment horizontal="center" vertical="center"/>
    </xf>
    <xf numFmtId="0" fontId="29" fillId="0" borderId="0" xfId="5" applyFont="1" applyAlignment="1">
      <alignment horizontal="right" vertical="center"/>
    </xf>
    <xf numFmtId="174" fontId="29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5" applyFont="1" applyProtection="1">
      <protection locked="0"/>
    </xf>
    <xf numFmtId="5" fontId="30" fillId="0" borderId="0" xfId="5" applyNumberFormat="1" applyFont="1" applyProtection="1">
      <protection locked="0"/>
    </xf>
    <xf numFmtId="0" fontId="29" fillId="0" borderId="0" xfId="5" applyFont="1" applyAlignment="1">
      <alignment horizontal="right" vertical="center" wrapText="1"/>
    </xf>
    <xf numFmtId="0" fontId="30" fillId="0" borderId="0" xfId="5" applyFont="1" applyAlignment="1">
      <alignment horizontal="left" vertical="center"/>
    </xf>
    <xf numFmtId="0" fontId="30" fillId="0" borderId="0" xfId="5" applyFont="1" applyAlignment="1">
      <alignment vertical="center" wrapText="1"/>
    </xf>
    <xf numFmtId="165" fontId="36" fillId="0" borderId="0" xfId="2" applyFont="1" applyFill="1" applyBorder="1" applyAlignment="1" applyProtection="1">
      <alignment horizontal="left" vertical="center" wrapText="1"/>
    </xf>
    <xf numFmtId="0" fontId="35" fillId="0" borderId="0" xfId="5" applyFont="1" applyAlignment="1">
      <alignment horizontal="right" vertical="center"/>
    </xf>
    <xf numFmtId="0" fontId="44" fillId="0" borderId="0" xfId="5" applyFont="1" applyAlignment="1">
      <alignment vertical="center"/>
    </xf>
    <xf numFmtId="0" fontId="35" fillId="0" borderId="15" xfId="5" applyFont="1" applyBorder="1" applyAlignment="1">
      <alignment horizontal="right" vertical="center" wrapText="1"/>
    </xf>
    <xf numFmtId="0" fontId="35" fillId="0" borderId="16" xfId="5" applyFont="1" applyBorder="1" applyAlignment="1">
      <alignment horizontal="right" vertical="center" wrapText="1"/>
    </xf>
    <xf numFmtId="0" fontId="30" fillId="0" borderId="16" xfId="5" applyFont="1" applyBorder="1"/>
    <xf numFmtId="0" fontId="52" fillId="0" borderId="0" xfId="5" applyFont="1" applyAlignment="1">
      <alignment vertical="center"/>
    </xf>
    <xf numFmtId="168" fontId="52" fillId="0" borderId="0" xfId="3" applyNumberFormat="1" applyFont="1" applyFill="1" applyBorder="1" applyAlignment="1" applyProtection="1">
      <alignment horizontal="center" vertical="center" wrapText="1"/>
    </xf>
    <xf numFmtId="0" fontId="53" fillId="0" borderId="0" xfId="5" applyFont="1" applyAlignment="1">
      <alignment horizontal="center" vertical="center"/>
    </xf>
    <xf numFmtId="0" fontId="53" fillId="0" borderId="0" xfId="5" applyFont="1" applyAlignment="1">
      <alignment vertical="center"/>
    </xf>
    <xf numFmtId="0" fontId="6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wrapText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 wrapText="1"/>
    </xf>
    <xf numFmtId="0" fontId="56" fillId="0" borderId="0" xfId="0" quotePrefix="1" applyFont="1" applyAlignment="1">
      <alignment vertical="center" wrapText="1"/>
    </xf>
    <xf numFmtId="175" fontId="34" fillId="3" borderId="5" xfId="2" applyNumberFormat="1" applyFont="1" applyFill="1" applyBorder="1" applyAlignment="1" applyProtection="1">
      <alignment horizontal="right" vertical="center" shrinkToFit="1"/>
    </xf>
    <xf numFmtId="175" fontId="30" fillId="5" borderId="5" xfId="2" applyNumberFormat="1" applyFont="1" applyFill="1" applyBorder="1" applyAlignment="1" applyProtection="1">
      <alignment horizontal="right" vertical="center" shrinkToFit="1"/>
      <protection locked="0"/>
    </xf>
    <xf numFmtId="175" fontId="30" fillId="2" borderId="5" xfId="2" applyNumberFormat="1" applyFont="1" applyFill="1" applyBorder="1" applyAlignment="1" applyProtection="1">
      <alignment vertical="center" shrinkToFit="1"/>
      <protection locked="0"/>
    </xf>
    <xf numFmtId="175" fontId="30" fillId="2" borderId="12" xfId="2" applyNumberFormat="1" applyFont="1" applyFill="1" applyBorder="1" applyAlignment="1" applyProtection="1">
      <alignment vertical="center" shrinkToFit="1"/>
      <protection locked="0"/>
    </xf>
    <xf numFmtId="0" fontId="1" fillId="0" borderId="0" xfId="0" applyFont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175" fontId="0" fillId="0" borderId="0" xfId="0" applyNumberFormat="1" applyAlignment="1">
      <alignment vertical="center"/>
    </xf>
    <xf numFmtId="0" fontId="0" fillId="17" borderId="3" xfId="0" applyFill="1" applyBorder="1" applyAlignment="1">
      <alignment vertical="center"/>
    </xf>
    <xf numFmtId="0" fontId="0" fillId="17" borderId="1" xfId="0" applyFill="1" applyBorder="1" applyAlignment="1">
      <alignment vertical="center"/>
    </xf>
    <xf numFmtId="0" fontId="42" fillId="17" borderId="1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44" fontId="0" fillId="0" borderId="0" xfId="4" applyFont="1" applyAlignment="1" applyProtection="1">
      <alignment vertical="center"/>
    </xf>
    <xf numFmtId="0" fontId="45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29" fillId="16" borderId="12" xfId="0" applyFont="1" applyFill="1" applyBorder="1" applyAlignment="1">
      <alignment horizontal="center" vertical="center" wrapText="1"/>
    </xf>
    <xf numFmtId="0" fontId="35" fillId="0" borderId="14" xfId="5" applyFont="1" applyBorder="1" applyAlignment="1">
      <alignment horizontal="center" vertical="center" shrinkToFit="1"/>
    </xf>
    <xf numFmtId="0" fontId="35" fillId="0" borderId="3" xfId="5" applyFont="1" applyBorder="1" applyAlignment="1">
      <alignment horizontal="center" vertical="center" shrinkToFit="1"/>
    </xf>
    <xf numFmtId="0" fontId="35" fillId="0" borderId="18" xfId="5" applyFont="1" applyBorder="1" applyAlignment="1">
      <alignment horizontal="center" vertical="center" shrinkToFit="1"/>
    </xf>
    <xf numFmtId="0" fontId="35" fillId="0" borderId="5" xfId="5" applyFont="1" applyBorder="1" applyAlignment="1">
      <alignment horizontal="center" vertical="center" shrinkToFit="1"/>
    </xf>
    <xf numFmtId="0" fontId="34" fillId="0" borderId="0" xfId="5" applyFont="1" applyAlignment="1">
      <alignment horizontal="center" vertical="center" shrinkToFit="1"/>
    </xf>
    <xf numFmtId="0" fontId="35" fillId="0" borderId="0" xfId="5" applyFont="1" applyAlignment="1">
      <alignment horizontal="right" vertical="center" shrinkToFit="1"/>
    </xf>
    <xf numFmtId="0" fontId="30" fillId="0" borderId="0" xfId="5" applyFont="1" applyAlignment="1">
      <alignment vertical="center" shrinkToFit="1"/>
    </xf>
    <xf numFmtId="0" fontId="29" fillId="10" borderId="10" xfId="5" applyFont="1" applyFill="1" applyBorder="1" applyAlignment="1">
      <alignment horizontal="center" vertical="center" wrapText="1"/>
    </xf>
    <xf numFmtId="0" fontId="29" fillId="16" borderId="10" xfId="5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165" fontId="6" fillId="0" borderId="0" xfId="2" applyFont="1" applyFill="1" applyBorder="1" applyAlignment="1" applyProtection="1">
      <alignment horizontal="right" vertical="center" wrapText="1"/>
    </xf>
    <xf numFmtId="170" fontId="6" fillId="0" borderId="0" xfId="0" applyNumberFormat="1" applyFont="1" applyAlignment="1">
      <alignment horizontal="right" vertical="center" wrapText="1"/>
    </xf>
    <xf numFmtId="164" fontId="6" fillId="0" borderId="0" xfId="1" applyFont="1" applyFill="1" applyBorder="1" applyAlignment="1" applyProtection="1">
      <alignment vertical="center" wrapText="1"/>
    </xf>
    <xf numFmtId="165" fontId="6" fillId="0" borderId="0" xfId="2" applyFont="1" applyFill="1" applyBorder="1" applyAlignment="1" applyProtection="1">
      <alignment vertical="center" wrapText="1"/>
    </xf>
    <xf numFmtId="0" fontId="6" fillId="0" borderId="0" xfId="0" applyFont="1" applyAlignment="1">
      <alignment horizontal="center" vertical="center" wrapText="1"/>
    </xf>
    <xf numFmtId="167" fontId="6" fillId="0" borderId="0" xfId="2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61" fillId="0" borderId="0" xfId="0" applyFont="1" applyAlignment="1">
      <alignment horizontal="left" vertical="center"/>
    </xf>
    <xf numFmtId="0" fontId="61" fillId="0" borderId="0" xfId="0" applyFont="1" applyAlignment="1">
      <alignment vertical="center"/>
    </xf>
    <xf numFmtId="0" fontId="64" fillId="0" borderId="0" xfId="0" applyFont="1" applyAlignment="1">
      <alignment horizontal="left" vertical="center"/>
    </xf>
    <xf numFmtId="49" fontId="0" fillId="0" borderId="0" xfId="0" applyNumberFormat="1" applyAlignment="1">
      <alignment vertical="center"/>
    </xf>
    <xf numFmtId="49" fontId="20" fillId="0" borderId="0" xfId="0" applyNumberFormat="1" applyFont="1" applyAlignment="1">
      <alignment vertical="center"/>
    </xf>
    <xf numFmtId="175" fontId="6" fillId="0" borderId="0" xfId="0" applyNumberFormat="1" applyFont="1" applyAlignment="1">
      <alignment horizontal="right" vertical="center" wrapText="1"/>
    </xf>
    <xf numFmtId="175" fontId="6" fillId="0" borderId="0" xfId="0" applyNumberFormat="1" applyFont="1" applyAlignment="1">
      <alignment horizontal="left" vertical="center" wrapText="1"/>
    </xf>
    <xf numFmtId="44" fontId="0" fillId="0" borderId="0" xfId="4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vertical="center"/>
    </xf>
    <xf numFmtId="165" fontId="28" fillId="0" borderId="3" xfId="2" applyFont="1" applyFill="1" applyBorder="1" applyAlignment="1" applyProtection="1">
      <alignment vertical="center" wrapText="1"/>
    </xf>
    <xf numFmtId="0" fontId="28" fillId="0" borderId="1" xfId="5" applyFont="1" applyBorder="1" applyAlignment="1">
      <alignment vertical="center"/>
    </xf>
    <xf numFmtId="0" fontId="34" fillId="0" borderId="1" xfId="5" applyFont="1" applyBorder="1" applyAlignment="1">
      <alignment vertical="center"/>
    </xf>
    <xf numFmtId="0" fontId="30" fillId="0" borderId="6" xfId="5" applyFont="1" applyBorder="1" applyAlignment="1">
      <alignment vertical="center"/>
    </xf>
    <xf numFmtId="0" fontId="62" fillId="0" borderId="0" xfId="0" applyFont="1"/>
    <xf numFmtId="0" fontId="61" fillId="0" borderId="0" xfId="0" applyFont="1"/>
    <xf numFmtId="0" fontId="51" fillId="0" borderId="0" xfId="0" applyFont="1" applyAlignment="1">
      <alignment vertical="center"/>
    </xf>
    <xf numFmtId="0" fontId="29" fillId="0" borderId="5" xfId="5" applyFont="1" applyBorder="1" applyAlignment="1">
      <alignment horizontal="center" vertical="center" wrapText="1"/>
    </xf>
    <xf numFmtId="0" fontId="34" fillId="3" borderId="14" xfId="5" applyFont="1" applyFill="1" applyBorder="1" applyAlignment="1">
      <alignment horizontal="center" vertical="center" wrapText="1"/>
    </xf>
    <xf numFmtId="0" fontId="34" fillId="3" borderId="5" xfId="5" applyFont="1" applyFill="1" applyBorder="1" applyAlignment="1">
      <alignment horizontal="center" vertical="center"/>
    </xf>
    <xf numFmtId="0" fontId="34" fillId="0" borderId="23" xfId="5" applyFont="1" applyBorder="1" applyAlignment="1">
      <alignment horizontal="center" vertical="center" wrapText="1"/>
    </xf>
    <xf numFmtId="1" fontId="34" fillId="3" borderId="3" xfId="5" applyNumberFormat="1" applyFont="1" applyFill="1" applyBorder="1" applyAlignment="1">
      <alignment horizontal="center" vertical="center" wrapText="1"/>
    </xf>
    <xf numFmtId="176" fontId="30" fillId="3" borderId="6" xfId="5" applyNumberFormat="1" applyFont="1" applyFill="1" applyBorder="1" applyAlignment="1">
      <alignment horizontal="center" vertical="center"/>
    </xf>
    <xf numFmtId="175" fontId="6" fillId="0" borderId="0" xfId="0" applyNumberFormat="1" applyFont="1" applyAlignment="1">
      <alignment vertical="center"/>
    </xf>
    <xf numFmtId="0" fontId="30" fillId="3" borderId="3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169" fontId="30" fillId="3" borderId="6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5" fontId="34" fillId="0" borderId="0" xfId="5" applyNumberFormat="1" applyFont="1" applyAlignment="1">
      <alignment vertical="center"/>
    </xf>
    <xf numFmtId="7" fontId="30" fillId="0" borderId="0" xfId="5" applyNumberFormat="1" applyFont="1" applyAlignment="1">
      <alignment horizontal="right" vertical="center" wrapText="1"/>
    </xf>
    <xf numFmtId="0" fontId="66" fillId="0" borderId="0" xfId="0" applyFont="1" applyAlignment="1">
      <alignment horizontal="right" vertical="top"/>
    </xf>
    <xf numFmtId="184" fontId="30" fillId="5" borderId="5" xfId="2" applyNumberFormat="1" applyFont="1" applyFill="1" applyBorder="1" applyAlignment="1" applyProtection="1">
      <alignment horizontal="center" vertical="center" wrapText="1"/>
      <protection locked="0"/>
    </xf>
    <xf numFmtId="175" fontId="1" fillId="0" borderId="0" xfId="0" applyNumberFormat="1" applyFont="1" applyAlignment="1">
      <alignment vertical="center"/>
    </xf>
    <xf numFmtId="0" fontId="0" fillId="17" borderId="6" xfId="0" applyFill="1" applyBorder="1" applyAlignment="1">
      <alignment vertical="center"/>
    </xf>
    <xf numFmtId="177" fontId="30" fillId="2" borderId="5" xfId="2" applyNumberFormat="1" applyFont="1" applyFill="1" applyBorder="1" applyAlignment="1" applyProtection="1">
      <alignment horizontal="right" vertical="center" shrinkToFit="1"/>
      <protection locked="0"/>
    </xf>
    <xf numFmtId="0" fontId="29" fillId="10" borderId="14" xfId="0" applyFont="1" applyFill="1" applyBorder="1" applyAlignment="1">
      <alignment horizontal="center" vertical="center" wrapText="1"/>
    </xf>
    <xf numFmtId="0" fontId="29" fillId="16" borderId="6" xfId="0" applyFont="1" applyFill="1" applyBorder="1" applyAlignment="1">
      <alignment horizontal="center" vertical="center" wrapText="1"/>
    </xf>
    <xf numFmtId="0" fontId="1" fillId="9" borderId="0" xfId="0" applyFont="1" applyFill="1" applyAlignment="1" applyProtection="1">
      <alignment vertical="center"/>
      <protection hidden="1"/>
    </xf>
    <xf numFmtId="0" fontId="8" fillId="9" borderId="0" xfId="0" applyFont="1" applyFill="1" applyAlignment="1" applyProtection="1">
      <alignment vertical="center"/>
      <protection hidden="1"/>
    </xf>
    <xf numFmtId="3" fontId="8" fillId="9" borderId="0" xfId="0" applyNumberFormat="1" applyFont="1" applyFill="1" applyAlignment="1" applyProtection="1">
      <alignment vertical="center"/>
      <protection hidden="1"/>
    </xf>
    <xf numFmtId="0" fontId="24" fillId="9" borderId="0" xfId="0" applyFont="1" applyFill="1" applyAlignment="1" applyProtection="1">
      <alignment vertical="center"/>
      <protection hidden="1"/>
    </xf>
    <xf numFmtId="9" fontId="8" fillId="9" borderId="0" xfId="0" applyNumberFormat="1" applyFont="1" applyFill="1" applyAlignment="1" applyProtection="1">
      <alignment vertical="center"/>
      <protection hidden="1"/>
    </xf>
    <xf numFmtId="10" fontId="8" fillId="9" borderId="0" xfId="0" applyNumberFormat="1" applyFont="1" applyFill="1" applyAlignment="1" applyProtection="1">
      <alignment vertical="center"/>
      <protection hidden="1"/>
    </xf>
    <xf numFmtId="0" fontId="56" fillId="9" borderId="4" xfId="0" applyFont="1" applyFill="1" applyBorder="1" applyAlignment="1" applyProtection="1">
      <alignment vertical="center" wrapText="1"/>
      <protection hidden="1"/>
    </xf>
    <xf numFmtId="0" fontId="56" fillId="9" borderId="0" xfId="0" applyFont="1" applyFill="1" applyAlignment="1" applyProtection="1">
      <alignment vertical="center" wrapText="1"/>
      <protection hidden="1"/>
    </xf>
    <xf numFmtId="0" fontId="68" fillId="9" borderId="0" xfId="0" applyFont="1" applyFill="1" applyAlignment="1" applyProtection="1">
      <alignment vertical="center"/>
      <protection hidden="1"/>
    </xf>
    <xf numFmtId="175" fontId="68" fillId="9" borderId="0" xfId="0" applyNumberFormat="1" applyFont="1" applyFill="1" applyAlignment="1" applyProtection="1">
      <alignment vertical="center"/>
      <protection hidden="1"/>
    </xf>
    <xf numFmtId="0" fontId="51" fillId="0" borderId="0" xfId="0" applyFont="1" applyAlignment="1" applyProtection="1">
      <alignment vertical="center"/>
      <protection hidden="1"/>
    </xf>
    <xf numFmtId="0" fontId="53" fillId="0" borderId="0" xfId="0" applyFont="1" applyAlignment="1" applyProtection="1">
      <alignment vertical="center"/>
      <protection hidden="1"/>
    </xf>
    <xf numFmtId="0" fontId="51" fillId="17" borderId="0" xfId="0" applyFont="1" applyFill="1" applyAlignment="1" applyProtection="1">
      <alignment horizontal="left" vertical="center" wrapText="1"/>
      <protection hidden="1"/>
    </xf>
    <xf numFmtId="0" fontId="59" fillId="17" borderId="0" xfId="0" applyFont="1" applyFill="1" applyAlignment="1" applyProtection="1">
      <alignment horizontal="left" vertical="center" wrapText="1"/>
      <protection hidden="1"/>
    </xf>
    <xf numFmtId="0" fontId="51" fillId="17" borderId="0" xfId="0" applyFont="1" applyFill="1" applyAlignment="1" applyProtection="1">
      <alignment vertical="center"/>
      <protection hidden="1"/>
    </xf>
    <xf numFmtId="0" fontId="53" fillId="17" borderId="0" xfId="0" applyFont="1" applyFill="1" applyAlignment="1" applyProtection="1">
      <alignment vertical="center"/>
      <protection hidden="1"/>
    </xf>
    <xf numFmtId="0" fontId="53" fillId="17" borderId="0" xfId="0" applyFont="1" applyFill="1" applyAlignment="1" applyProtection="1">
      <alignment vertical="center" wrapText="1"/>
      <protection hidden="1"/>
    </xf>
    <xf numFmtId="0" fontId="28" fillId="17" borderId="0" xfId="5" applyFont="1" applyFill="1" applyAlignment="1" applyProtection="1">
      <alignment vertical="center"/>
      <protection hidden="1"/>
    </xf>
    <xf numFmtId="0" fontId="57" fillId="9" borderId="0" xfId="0" applyFont="1" applyFill="1" applyAlignment="1" applyProtection="1">
      <alignment horizontal="center" vertical="center" wrapText="1"/>
      <protection hidden="1"/>
    </xf>
    <xf numFmtId="0" fontId="30" fillId="9" borderId="0" xfId="5" applyFont="1" applyFill="1" applyAlignment="1" applyProtection="1">
      <alignment vertical="center"/>
      <protection hidden="1"/>
    </xf>
    <xf numFmtId="0" fontId="57" fillId="9" borderId="0" xfId="0" applyFont="1" applyFill="1" applyAlignment="1" applyProtection="1">
      <alignment horizontal="left" vertical="center" wrapText="1"/>
      <protection hidden="1"/>
    </xf>
    <xf numFmtId="0" fontId="53" fillId="9" borderId="0" xfId="0" applyFont="1" applyFill="1" applyAlignment="1" applyProtection="1">
      <alignment horizontal="left" vertical="center"/>
      <protection hidden="1"/>
    </xf>
    <xf numFmtId="0" fontId="53" fillId="9" borderId="0" xfId="0" applyFont="1" applyFill="1" applyAlignment="1" applyProtection="1">
      <alignment vertical="center"/>
      <protection hidden="1"/>
    </xf>
    <xf numFmtId="0" fontId="53" fillId="9" borderId="0" xfId="0" applyFont="1" applyFill="1" applyAlignment="1" applyProtection="1">
      <alignment vertical="center" wrapText="1"/>
      <protection hidden="1"/>
    </xf>
    <xf numFmtId="0" fontId="58" fillId="9" borderId="7" xfId="0" applyFont="1" applyFill="1" applyBorder="1" applyAlignment="1" applyProtection="1">
      <alignment horizontal="center" vertical="center"/>
      <protection hidden="1"/>
    </xf>
    <xf numFmtId="5" fontId="30" fillId="9" borderId="0" xfId="5" applyNumberFormat="1" applyFont="1" applyFill="1" applyAlignment="1" applyProtection="1">
      <alignment vertical="center"/>
      <protection hidden="1"/>
    </xf>
    <xf numFmtId="5" fontId="30" fillId="20" borderId="5" xfId="2" applyNumberFormat="1" applyFont="1" applyFill="1" applyBorder="1" applyAlignment="1" applyProtection="1">
      <alignment horizontal="center" vertical="center" shrinkToFit="1"/>
    </xf>
    <xf numFmtId="0" fontId="61" fillId="0" borderId="0" xfId="0" applyFont="1" applyAlignment="1">
      <alignment horizontal="right" vertical="center"/>
    </xf>
    <xf numFmtId="0" fontId="36" fillId="0" borderId="0" xfId="0" applyFont="1" applyAlignment="1">
      <alignment vertical="center" wrapText="1"/>
    </xf>
    <xf numFmtId="0" fontId="70" fillId="0" borderId="0" xfId="0" applyFont="1" applyAlignment="1">
      <alignment vertical="center"/>
    </xf>
    <xf numFmtId="10" fontId="29" fillId="0" borderId="0" xfId="3" applyNumberFormat="1" applyFont="1" applyFill="1" applyBorder="1" applyAlignment="1">
      <alignment horizontal="left" vertical="center" shrinkToFit="1"/>
    </xf>
    <xf numFmtId="0" fontId="60" fillId="0" borderId="0" xfId="0" applyFont="1" applyAlignment="1">
      <alignment horizontal="right"/>
    </xf>
    <xf numFmtId="10" fontId="29" fillId="0" borderId="0" xfId="3" applyNumberFormat="1" applyFont="1" applyFill="1" applyBorder="1" applyAlignment="1">
      <alignment horizontal="left" shrinkToFit="1"/>
    </xf>
    <xf numFmtId="0" fontId="71" fillId="0" borderId="0" xfId="5" applyFont="1" applyAlignment="1">
      <alignment horizontal="center" vertical="center"/>
    </xf>
    <xf numFmtId="165" fontId="60" fillId="0" borderId="0" xfId="2" applyFont="1" applyFill="1" applyBorder="1" applyAlignment="1" applyProtection="1">
      <alignment vertical="top"/>
    </xf>
    <xf numFmtId="49" fontId="27" fillId="0" borderId="0" xfId="2" applyNumberFormat="1" applyFont="1" applyAlignment="1">
      <alignment horizontal="left" vertical="center"/>
    </xf>
    <xf numFmtId="49" fontId="69" fillId="0" borderId="0" xfId="0" applyNumberFormat="1" applyFont="1" applyAlignment="1">
      <alignment horizontal="left" vertical="center"/>
    </xf>
    <xf numFmtId="176" fontId="34" fillId="2" borderId="5" xfId="5" applyNumberFormat="1" applyFont="1" applyFill="1" applyBorder="1" applyAlignment="1" applyProtection="1">
      <alignment horizontal="center" vertical="center" shrinkToFit="1"/>
      <protection locked="0"/>
    </xf>
    <xf numFmtId="5" fontId="30" fillId="2" borderId="5" xfId="2" applyNumberFormat="1" applyFont="1" applyFill="1" applyBorder="1" applyAlignment="1" applyProtection="1">
      <alignment horizontal="right" vertical="center" shrinkToFit="1"/>
      <protection locked="0"/>
    </xf>
    <xf numFmtId="176" fontId="34" fillId="2" borderId="5" xfId="0" applyNumberFormat="1" applyFont="1" applyFill="1" applyBorder="1" applyAlignment="1" applyProtection="1">
      <alignment horizontal="center" vertical="center" shrinkToFit="1"/>
      <protection locked="0"/>
    </xf>
    <xf numFmtId="169" fontId="30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28" fillId="17" borderId="0" xfId="0" applyFont="1" applyFill="1" applyAlignment="1" applyProtection="1">
      <alignment horizontal="center" vertical="center" shrinkToFit="1"/>
      <protection hidden="1"/>
    </xf>
    <xf numFmtId="0" fontId="72" fillId="0" borderId="0" xfId="0" applyFont="1"/>
    <xf numFmtId="0" fontId="64" fillId="0" borderId="0" xfId="0" applyFont="1" applyAlignment="1">
      <alignment vertical="center"/>
    </xf>
    <xf numFmtId="5" fontId="30" fillId="2" borderId="5" xfId="2" applyNumberFormat="1" applyFont="1" applyFill="1" applyBorder="1" applyAlignment="1" applyProtection="1">
      <alignment vertical="center" shrinkToFit="1"/>
      <protection locked="0"/>
    </xf>
    <xf numFmtId="37" fontId="30" fillId="2" borderId="5" xfId="2" applyNumberFormat="1" applyFont="1" applyFill="1" applyBorder="1" applyAlignment="1" applyProtection="1">
      <alignment horizontal="center" vertical="center" shrinkToFit="1"/>
      <protection locked="0"/>
    </xf>
    <xf numFmtId="174" fontId="30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5" fillId="0" borderId="0" xfId="0" applyFont="1" applyAlignment="1" applyProtection="1">
      <alignment vertical="center"/>
      <protection hidden="1"/>
    </xf>
    <xf numFmtId="5" fontId="30" fillId="3" borderId="5" xfId="2" applyNumberFormat="1" applyFont="1" applyFill="1" applyBorder="1" applyAlignment="1" applyProtection="1">
      <alignment horizontal="center" vertical="center" shrinkToFit="1"/>
      <protection hidden="1"/>
    </xf>
    <xf numFmtId="183" fontId="29" fillId="19" borderId="17" xfId="2" applyNumberFormat="1" applyFont="1" applyFill="1" applyBorder="1" applyAlignment="1" applyProtection="1">
      <alignment horizontal="center" vertical="center" shrinkToFit="1"/>
      <protection hidden="1"/>
    </xf>
    <xf numFmtId="183" fontId="29" fillId="19" borderId="17" xfId="2" applyNumberFormat="1" applyFont="1" applyFill="1" applyBorder="1" applyAlignment="1" applyProtection="1">
      <alignment horizontal="right" vertical="center" shrinkToFit="1"/>
      <protection hidden="1"/>
    </xf>
    <xf numFmtId="5" fontId="29" fillId="3" borderId="5" xfId="2" applyNumberFormat="1" applyFont="1" applyFill="1" applyBorder="1" applyAlignment="1" applyProtection="1">
      <alignment horizontal="center" vertical="center" shrinkToFit="1"/>
      <protection hidden="1"/>
    </xf>
    <xf numFmtId="49" fontId="34" fillId="20" borderId="9" xfId="5" applyNumberFormat="1" applyFont="1" applyFill="1" applyBorder="1" applyAlignment="1" applyProtection="1">
      <alignment horizontal="center" vertical="center" shrinkToFit="1"/>
      <protection hidden="1"/>
    </xf>
    <xf numFmtId="178" fontId="34" fillId="20" borderId="5" xfId="2" applyNumberFormat="1" applyFont="1" applyFill="1" applyBorder="1" applyAlignment="1" applyProtection="1">
      <alignment horizontal="center" vertical="center" shrinkToFit="1"/>
      <protection hidden="1"/>
    </xf>
    <xf numFmtId="178" fontId="34" fillId="20" borderId="9" xfId="2" applyNumberFormat="1" applyFont="1" applyFill="1" applyBorder="1" applyAlignment="1" applyProtection="1">
      <alignment horizontal="center" vertical="center" shrinkToFit="1"/>
      <protection hidden="1"/>
    </xf>
    <xf numFmtId="178" fontId="30" fillId="20" borderId="5" xfId="2" applyNumberFormat="1" applyFont="1" applyFill="1" applyBorder="1" applyAlignment="1" applyProtection="1">
      <alignment horizontal="center" vertical="center" shrinkToFit="1"/>
      <protection hidden="1"/>
    </xf>
    <xf numFmtId="10" fontId="30" fillId="20" borderId="5" xfId="3" applyNumberFormat="1" applyFont="1" applyFill="1" applyBorder="1" applyAlignment="1" applyProtection="1">
      <alignment horizontal="center" vertical="center" shrinkToFit="1"/>
      <protection hidden="1"/>
    </xf>
    <xf numFmtId="178" fontId="34" fillId="20" borderId="12" xfId="2" applyNumberFormat="1" applyFont="1" applyFill="1" applyBorder="1" applyAlignment="1" applyProtection="1">
      <alignment horizontal="center" vertical="center" shrinkToFit="1"/>
      <protection hidden="1"/>
    </xf>
    <xf numFmtId="49" fontId="34" fillId="20" borderId="12" xfId="5" applyNumberFormat="1" applyFont="1" applyFill="1" applyBorder="1" applyAlignment="1" applyProtection="1">
      <alignment horizontal="center" vertical="center" shrinkToFit="1"/>
      <protection hidden="1"/>
    </xf>
    <xf numFmtId="178" fontId="34" fillId="20" borderId="10" xfId="2" applyNumberFormat="1" applyFont="1" applyFill="1" applyBorder="1" applyAlignment="1" applyProtection="1">
      <alignment horizontal="center" vertical="center" shrinkToFit="1"/>
      <protection hidden="1"/>
    </xf>
    <xf numFmtId="49" fontId="34" fillId="20" borderId="5" xfId="5" applyNumberFormat="1" applyFont="1" applyFill="1" applyBorder="1" applyAlignment="1" applyProtection="1">
      <alignment horizontal="center" vertical="center" shrinkToFit="1"/>
      <protection hidden="1"/>
    </xf>
    <xf numFmtId="49" fontId="30" fillId="20" borderId="5" xfId="5" applyNumberFormat="1" applyFont="1" applyFill="1" applyBorder="1" applyAlignment="1" applyProtection="1">
      <alignment horizontal="center" vertical="center" shrinkToFit="1"/>
      <protection hidden="1"/>
    </xf>
    <xf numFmtId="178" fontId="35" fillId="19" borderId="17" xfId="2" applyNumberFormat="1" applyFont="1" applyFill="1" applyBorder="1" applyAlignment="1" applyProtection="1">
      <alignment horizontal="center" vertical="center" shrinkToFit="1"/>
      <protection hidden="1"/>
    </xf>
    <xf numFmtId="5" fontId="35" fillId="19" borderId="17" xfId="2" applyNumberFormat="1" applyFont="1" applyFill="1" applyBorder="1" applyAlignment="1" applyProtection="1">
      <alignment horizontal="center" vertical="center" shrinkToFit="1"/>
      <protection hidden="1"/>
    </xf>
    <xf numFmtId="10" fontId="35" fillId="19" borderId="17" xfId="3" applyNumberFormat="1" applyFont="1" applyFill="1" applyBorder="1" applyAlignment="1" applyProtection="1">
      <alignment horizontal="center" vertical="center" shrinkToFit="1"/>
      <protection hidden="1"/>
    </xf>
    <xf numFmtId="5" fontId="35" fillId="19" borderId="17" xfId="3" applyNumberFormat="1" applyFont="1" applyFill="1" applyBorder="1" applyAlignment="1" applyProtection="1">
      <alignment horizontal="center" vertical="center" shrinkToFit="1"/>
      <protection hidden="1"/>
    </xf>
    <xf numFmtId="0" fontId="35" fillId="0" borderId="3" xfId="5" applyFont="1" applyBorder="1" applyAlignment="1" applyProtection="1">
      <alignment horizontal="center" vertical="center" shrinkToFit="1"/>
      <protection hidden="1"/>
    </xf>
    <xf numFmtId="178" fontId="30" fillId="3" borderId="1" xfId="5" applyNumberFormat="1" applyFont="1" applyFill="1" applyBorder="1" applyAlignment="1" applyProtection="1">
      <alignment horizontal="center" vertical="center" shrinkToFit="1"/>
      <protection hidden="1"/>
    </xf>
    <xf numFmtId="0" fontId="29" fillId="0" borderId="1" xfId="5" applyFont="1" applyBorder="1" applyAlignment="1" applyProtection="1">
      <alignment horizontal="center" vertical="center" shrinkToFit="1"/>
      <protection hidden="1"/>
    </xf>
    <xf numFmtId="0" fontId="30" fillId="3" borderId="1" xfId="5" applyFont="1" applyFill="1" applyBorder="1" applyAlignment="1" applyProtection="1">
      <alignment horizontal="center" vertical="center" shrinkToFit="1"/>
      <protection hidden="1"/>
    </xf>
    <xf numFmtId="176" fontId="29" fillId="4" borderId="5" xfId="5" applyNumberFormat="1" applyFont="1" applyFill="1" applyBorder="1" applyAlignment="1" applyProtection="1">
      <alignment horizontal="center" vertical="center" shrinkToFit="1"/>
      <protection hidden="1"/>
    </xf>
    <xf numFmtId="171" fontId="29" fillId="0" borderId="2" xfId="5" applyNumberFormat="1" applyFont="1" applyBorder="1" applyAlignment="1" applyProtection="1">
      <alignment horizontal="center" vertical="center" wrapText="1"/>
      <protection hidden="1"/>
    </xf>
    <xf numFmtId="167" fontId="30" fillId="0" borderId="0" xfId="5" applyNumberFormat="1" applyFont="1" applyAlignment="1" applyProtection="1">
      <alignment horizontal="center" vertical="center" wrapText="1"/>
      <protection hidden="1"/>
    </xf>
    <xf numFmtId="0" fontId="30" fillId="0" borderId="0" xfId="5" applyFont="1" applyAlignment="1" applyProtection="1">
      <alignment horizontal="center" vertical="center" wrapText="1"/>
      <protection hidden="1"/>
    </xf>
    <xf numFmtId="0" fontId="29" fillId="0" borderId="0" xfId="5" applyFont="1" applyAlignment="1" applyProtection="1">
      <alignment horizontal="center" vertical="center" wrapText="1"/>
      <protection hidden="1"/>
    </xf>
    <xf numFmtId="0" fontId="30" fillId="0" borderId="0" xfId="5" applyFont="1" applyAlignment="1" applyProtection="1">
      <alignment horizontal="center" vertical="center"/>
      <protection hidden="1"/>
    </xf>
    <xf numFmtId="0" fontId="30" fillId="0" borderId="7" xfId="5" applyFont="1" applyBorder="1" applyAlignment="1" applyProtection="1">
      <alignment horizontal="center" vertical="center"/>
      <protection hidden="1"/>
    </xf>
    <xf numFmtId="1" fontId="30" fillId="3" borderId="1" xfId="5" applyNumberFormat="1" applyFont="1" applyFill="1" applyBorder="1" applyAlignment="1" applyProtection="1">
      <alignment horizontal="center" vertical="center" shrinkToFit="1"/>
      <protection hidden="1"/>
    </xf>
    <xf numFmtId="0" fontId="30" fillId="0" borderId="1" xfId="5" applyFont="1" applyBorder="1" applyAlignment="1" applyProtection="1">
      <alignment horizontal="center" vertical="center" shrinkToFit="1"/>
      <protection hidden="1"/>
    </xf>
    <xf numFmtId="0" fontId="30" fillId="0" borderId="6" xfId="5" applyFont="1" applyBorder="1" applyAlignment="1" applyProtection="1">
      <alignment horizontal="center" vertical="center" shrinkToFit="1"/>
      <protection hidden="1"/>
    </xf>
    <xf numFmtId="0" fontId="29" fillId="0" borderId="2" xfId="5" applyFont="1" applyBorder="1" applyAlignment="1" applyProtection="1">
      <alignment horizontal="center" vertical="center"/>
      <protection hidden="1"/>
    </xf>
    <xf numFmtId="0" fontId="29" fillId="0" borderId="2" xfId="5" applyFont="1" applyBorder="1" applyAlignment="1" applyProtection="1">
      <alignment horizontal="center" vertical="center" wrapText="1"/>
      <protection hidden="1"/>
    </xf>
    <xf numFmtId="178" fontId="30" fillId="0" borderId="0" xfId="5" applyNumberFormat="1" applyFont="1" applyAlignment="1" applyProtection="1">
      <alignment horizontal="center" vertical="center" wrapText="1"/>
      <protection hidden="1"/>
    </xf>
    <xf numFmtId="0" fontId="30" fillId="0" borderId="3" xfId="5" applyFont="1" applyBorder="1" applyAlignment="1" applyProtection="1">
      <alignment horizontal="center" vertical="center" wrapText="1"/>
      <protection hidden="1"/>
    </xf>
    <xf numFmtId="167" fontId="30" fillId="0" borderId="1" xfId="5" applyNumberFormat="1" applyFont="1" applyBorder="1" applyAlignment="1" applyProtection="1">
      <alignment horizontal="center" vertical="center" wrapText="1"/>
      <protection hidden="1"/>
    </xf>
    <xf numFmtId="0" fontId="30" fillId="0" borderId="1" xfId="5" applyFont="1" applyBorder="1" applyAlignment="1" applyProtection="1">
      <alignment horizontal="center" vertical="center" wrapText="1"/>
      <protection hidden="1"/>
    </xf>
    <xf numFmtId="0" fontId="29" fillId="0" borderId="1" xfId="5" applyFont="1" applyBorder="1" applyAlignment="1" applyProtection="1">
      <alignment horizontal="center" vertical="center" wrapText="1"/>
      <protection hidden="1"/>
    </xf>
    <xf numFmtId="0" fontId="30" fillId="0" borderId="1" xfId="5" applyFont="1" applyBorder="1" applyAlignment="1" applyProtection="1">
      <alignment horizontal="center" vertical="center"/>
      <protection hidden="1"/>
    </xf>
    <xf numFmtId="0" fontId="30" fillId="0" borderId="6" xfId="5" applyFont="1" applyBorder="1" applyAlignment="1" applyProtection="1">
      <alignment horizontal="center" vertical="center"/>
      <protection hidden="1"/>
    </xf>
    <xf numFmtId="0" fontId="34" fillId="0" borderId="5" xfId="5" applyFont="1" applyBorder="1" applyAlignment="1" applyProtection="1">
      <alignment horizontal="center" vertical="center" wrapText="1"/>
      <protection hidden="1"/>
    </xf>
    <xf numFmtId="9" fontId="30" fillId="0" borderId="3" xfId="3" applyFont="1" applyBorder="1" applyAlignment="1" applyProtection="1">
      <alignment horizontal="center" vertical="center" wrapText="1"/>
      <protection hidden="1"/>
    </xf>
    <xf numFmtId="183" fontId="30" fillId="3" borderId="5" xfId="2" applyNumberFormat="1" applyFont="1" applyFill="1" applyBorder="1" applyAlignment="1" applyProtection="1">
      <alignment horizontal="center" vertical="center" shrinkToFit="1"/>
      <protection hidden="1"/>
    </xf>
    <xf numFmtId="165" fontId="30" fillId="3" borderId="3" xfId="2" applyFont="1" applyFill="1" applyBorder="1" applyAlignment="1" applyProtection="1">
      <alignment horizontal="right" vertical="center" shrinkToFit="1"/>
      <protection hidden="1"/>
    </xf>
    <xf numFmtId="165" fontId="30" fillId="3" borderId="6" xfId="2" applyFont="1" applyFill="1" applyBorder="1" applyAlignment="1" applyProtection="1">
      <alignment horizontal="center" vertical="center" shrinkToFit="1"/>
      <protection hidden="1"/>
    </xf>
    <xf numFmtId="178" fontId="34" fillId="3" borderId="5" xfId="2" applyNumberFormat="1" applyFont="1" applyFill="1" applyBorder="1" applyAlignment="1" applyProtection="1">
      <alignment horizontal="center" vertical="center" shrinkToFit="1"/>
      <protection hidden="1"/>
    </xf>
    <xf numFmtId="178" fontId="34" fillId="21" borderId="5" xfId="2" applyNumberFormat="1" applyFont="1" applyFill="1" applyBorder="1" applyAlignment="1" applyProtection="1">
      <alignment horizontal="center" vertical="center" shrinkToFit="1"/>
      <protection hidden="1"/>
    </xf>
    <xf numFmtId="10" fontId="30" fillId="0" borderId="5" xfId="3" applyNumberFormat="1" applyFont="1" applyBorder="1" applyAlignment="1" applyProtection="1">
      <alignment horizontal="center" vertical="center" wrapText="1"/>
      <protection hidden="1"/>
    </xf>
    <xf numFmtId="0" fontId="48" fillId="0" borderId="5" xfId="5" applyFont="1" applyBorder="1" applyAlignment="1" applyProtection="1">
      <alignment horizontal="center" vertical="center" wrapText="1"/>
      <protection hidden="1"/>
    </xf>
    <xf numFmtId="9" fontId="30" fillId="0" borderId="5" xfId="3" applyFont="1" applyBorder="1" applyAlignment="1" applyProtection="1">
      <alignment horizontal="center" vertical="center" wrapText="1"/>
      <protection hidden="1"/>
    </xf>
    <xf numFmtId="0" fontId="35" fillId="0" borderId="14" xfId="0" applyFont="1" applyBorder="1" applyAlignment="1" applyProtection="1">
      <alignment vertical="center"/>
      <protection hidden="1"/>
    </xf>
    <xf numFmtId="0" fontId="58" fillId="17" borderId="4" xfId="0" applyFont="1" applyFill="1" applyBorder="1" applyAlignment="1" applyProtection="1">
      <alignment vertical="center"/>
      <protection hidden="1"/>
    </xf>
    <xf numFmtId="0" fontId="52" fillId="17" borderId="0" xfId="0" applyFont="1" applyFill="1" applyAlignment="1" applyProtection="1">
      <alignment horizontal="center" vertical="center" shrinkToFit="1"/>
      <protection hidden="1"/>
    </xf>
    <xf numFmtId="0" fontId="58" fillId="17" borderId="0" xfId="0" applyFont="1" applyFill="1" applyAlignment="1" applyProtection="1">
      <alignment horizontal="right" vertical="center" shrinkToFit="1"/>
      <protection hidden="1"/>
    </xf>
    <xf numFmtId="0" fontId="52" fillId="17" borderId="0" xfId="0" applyFont="1" applyFill="1" applyAlignment="1" applyProtection="1">
      <alignment vertical="center" shrinkToFit="1"/>
      <protection hidden="1"/>
    </xf>
    <xf numFmtId="0" fontId="58" fillId="17" borderId="0" xfId="0" applyFont="1" applyFill="1" applyAlignment="1" applyProtection="1">
      <alignment horizontal="center" vertical="center" shrinkToFit="1"/>
      <protection hidden="1"/>
    </xf>
    <xf numFmtId="9" fontId="34" fillId="0" borderId="5" xfId="3" applyFont="1" applyBorder="1" applyAlignment="1" applyProtection="1">
      <alignment horizontal="center" vertical="center" wrapText="1"/>
      <protection hidden="1"/>
    </xf>
    <xf numFmtId="183" fontId="34" fillId="3" borderId="5" xfId="2" applyNumberFormat="1" applyFont="1" applyFill="1" applyBorder="1" applyAlignment="1" applyProtection="1">
      <alignment horizontal="center" vertical="center" shrinkToFit="1"/>
      <protection hidden="1"/>
    </xf>
    <xf numFmtId="178" fontId="30" fillId="3" borderId="5" xfId="2" applyNumberFormat="1" applyFont="1" applyFill="1" applyBorder="1" applyAlignment="1" applyProtection="1">
      <alignment horizontal="center" vertical="center" shrinkToFit="1"/>
      <protection hidden="1"/>
    </xf>
    <xf numFmtId="178" fontId="34" fillId="0" borderId="5" xfId="5" applyNumberFormat="1" applyFont="1" applyBorder="1" applyAlignment="1" applyProtection="1">
      <alignment horizontal="center" vertical="center" wrapText="1"/>
      <protection hidden="1"/>
    </xf>
    <xf numFmtId="0" fontId="35" fillId="0" borderId="14" xfId="0" applyFont="1" applyBorder="1" applyAlignment="1" applyProtection="1">
      <alignment horizontal="left" vertical="center"/>
      <protection hidden="1"/>
    </xf>
    <xf numFmtId="0" fontId="58" fillId="17" borderId="4" xfId="0" applyFont="1" applyFill="1" applyBorder="1" applyAlignment="1" applyProtection="1">
      <alignment vertical="center" shrinkToFit="1"/>
      <protection hidden="1"/>
    </xf>
    <xf numFmtId="0" fontId="52" fillId="17" borderId="4" xfId="0" applyFont="1" applyFill="1" applyBorder="1" applyAlignment="1" applyProtection="1">
      <alignment horizontal="right" vertical="center" shrinkToFit="1"/>
      <protection hidden="1"/>
    </xf>
    <xf numFmtId="9" fontId="34" fillId="0" borderId="9" xfId="3" applyFont="1" applyBorder="1" applyAlignment="1" applyProtection="1">
      <alignment horizontal="center" vertical="center" wrapText="1"/>
      <protection hidden="1"/>
    </xf>
    <xf numFmtId="183" fontId="34" fillId="3" borderId="9" xfId="2" applyNumberFormat="1" applyFont="1" applyFill="1" applyBorder="1" applyAlignment="1" applyProtection="1">
      <alignment horizontal="center" vertical="center" shrinkToFit="1"/>
      <protection hidden="1"/>
    </xf>
    <xf numFmtId="0" fontId="34" fillId="9" borderId="0" xfId="5" applyFont="1" applyFill="1" applyAlignment="1" applyProtection="1">
      <alignment vertical="center"/>
      <protection hidden="1"/>
    </xf>
    <xf numFmtId="0" fontId="35" fillId="17" borderId="3" xfId="0" applyFont="1" applyFill="1" applyBorder="1" applyAlignment="1" applyProtection="1">
      <alignment horizontal="left" vertical="center" wrapText="1"/>
      <protection hidden="1"/>
    </xf>
    <xf numFmtId="0" fontId="35" fillId="17" borderId="0" xfId="0" applyFont="1" applyFill="1" applyAlignment="1" applyProtection="1">
      <alignment vertical="center"/>
      <protection hidden="1"/>
    </xf>
    <xf numFmtId="0" fontId="58" fillId="17" borderId="1" xfId="0" applyFont="1" applyFill="1" applyBorder="1" applyAlignment="1" applyProtection="1">
      <alignment vertical="center" shrinkToFit="1"/>
      <protection hidden="1"/>
    </xf>
    <xf numFmtId="0" fontId="52" fillId="17" borderId="1" xfId="0" applyFont="1" applyFill="1" applyBorder="1" applyAlignment="1" applyProtection="1">
      <alignment horizontal="right" vertical="center" shrinkToFit="1"/>
      <protection hidden="1"/>
    </xf>
    <xf numFmtId="0" fontId="58" fillId="17" borderId="19" xfId="0" applyFont="1" applyFill="1" applyBorder="1" applyAlignment="1" applyProtection="1">
      <alignment horizontal="center" vertical="center" shrinkToFit="1"/>
      <protection hidden="1"/>
    </xf>
    <xf numFmtId="0" fontId="34" fillId="17" borderId="0" xfId="5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9" fillId="10" borderId="5" xfId="5" applyFont="1" applyFill="1" applyBorder="1" applyAlignment="1" applyProtection="1">
      <alignment horizontal="center" vertical="center" wrapText="1"/>
      <protection hidden="1"/>
    </xf>
    <xf numFmtId="0" fontId="35" fillId="12" borderId="5" xfId="0" applyFont="1" applyFill="1" applyBorder="1" applyAlignment="1" applyProtection="1">
      <alignment horizontal="center" vertical="center" wrapText="1"/>
      <protection hidden="1"/>
    </xf>
    <xf numFmtId="0" fontId="35" fillId="22" borderId="5" xfId="0" applyFont="1" applyFill="1" applyBorder="1" applyAlignment="1" applyProtection="1">
      <alignment horizontal="center" vertical="center" wrapText="1"/>
      <protection hidden="1"/>
    </xf>
    <xf numFmtId="0" fontId="35" fillId="10" borderId="5" xfId="5" applyFont="1" applyFill="1" applyBorder="1" applyAlignment="1" applyProtection="1">
      <alignment horizontal="center" vertical="center" wrapText="1"/>
      <protection hidden="1"/>
    </xf>
    <xf numFmtId="0" fontId="29" fillId="12" borderId="5" xfId="0" applyFont="1" applyFill="1" applyBorder="1" applyAlignment="1" applyProtection="1">
      <alignment horizontal="center" vertical="center" wrapText="1"/>
      <protection hidden="1"/>
    </xf>
    <xf numFmtId="0" fontId="29" fillId="22" borderId="5" xfId="0" applyFont="1" applyFill="1" applyBorder="1" applyAlignment="1" applyProtection="1">
      <alignment horizontal="center" vertical="center" wrapText="1"/>
      <protection hidden="1"/>
    </xf>
    <xf numFmtId="0" fontId="29" fillId="11" borderId="5" xfId="0" applyFont="1" applyFill="1" applyBorder="1" applyAlignment="1" applyProtection="1">
      <alignment horizontal="center" vertical="center" wrapText="1"/>
      <protection hidden="1"/>
    </xf>
    <xf numFmtId="184" fontId="34" fillId="3" borderId="9" xfId="2" applyNumberFormat="1" applyFont="1" applyFill="1" applyBorder="1" applyAlignment="1" applyProtection="1">
      <alignment horizontal="center" vertical="center" shrinkToFit="1"/>
      <protection hidden="1"/>
    </xf>
    <xf numFmtId="184" fontId="30" fillId="3" borderId="9" xfId="2" applyNumberFormat="1" applyFont="1" applyFill="1" applyBorder="1" applyAlignment="1" applyProtection="1">
      <alignment horizontal="center" vertical="center" shrinkToFit="1"/>
      <protection hidden="1"/>
    </xf>
    <xf numFmtId="184" fontId="30" fillId="17" borderId="2" xfId="5" applyNumberFormat="1" applyFont="1" applyFill="1" applyBorder="1" applyAlignment="1" applyProtection="1">
      <alignment vertical="center"/>
      <protection hidden="1"/>
    </xf>
    <xf numFmtId="184" fontId="30" fillId="17" borderId="0" xfId="5" applyNumberFormat="1" applyFont="1" applyFill="1" applyAlignment="1" applyProtection="1">
      <alignment vertical="center"/>
      <protection hidden="1"/>
    </xf>
    <xf numFmtId="184" fontId="30" fillId="17" borderId="7" xfId="5" applyNumberFormat="1" applyFont="1" applyFill="1" applyBorder="1" applyAlignment="1" applyProtection="1">
      <alignment vertical="center"/>
      <protection hidden="1"/>
    </xf>
    <xf numFmtId="0" fontId="29" fillId="0" borderId="5" xfId="0" applyFont="1" applyBorder="1" applyAlignment="1" applyProtection="1">
      <alignment horizontal="center" vertical="center" wrapText="1"/>
      <protection hidden="1"/>
    </xf>
    <xf numFmtId="0" fontId="34" fillId="0" borderId="5" xfId="0" applyFont="1" applyBorder="1" applyAlignment="1" applyProtection="1">
      <alignment horizontal="center" vertical="center" wrapText="1"/>
      <protection hidden="1"/>
    </xf>
    <xf numFmtId="184" fontId="34" fillId="3" borderId="5" xfId="2" applyNumberFormat="1" applyFont="1" applyFill="1" applyBorder="1" applyAlignment="1" applyProtection="1">
      <alignment horizontal="center" vertical="center" shrinkToFit="1"/>
      <protection hidden="1"/>
    </xf>
    <xf numFmtId="184" fontId="30" fillId="3" borderId="5" xfId="2" applyNumberFormat="1" applyFont="1" applyFill="1" applyBorder="1" applyAlignment="1" applyProtection="1">
      <alignment horizontal="center" vertical="center" shrinkToFit="1"/>
      <protection hidden="1"/>
    </xf>
    <xf numFmtId="175" fontId="34" fillId="3" borderId="5" xfId="2" applyNumberFormat="1" applyFont="1" applyFill="1" applyBorder="1" applyAlignment="1" applyProtection="1">
      <alignment horizontal="right" vertical="center" shrinkToFit="1"/>
      <protection hidden="1"/>
    </xf>
    <xf numFmtId="175" fontId="34" fillId="3" borderId="12" xfId="2" applyNumberFormat="1" applyFont="1" applyFill="1" applyBorder="1" applyAlignment="1" applyProtection="1">
      <alignment horizontal="right" vertical="center" shrinkToFit="1"/>
      <protection hidden="1"/>
    </xf>
    <xf numFmtId="175" fontId="29" fillId="4" borderId="20" xfId="2" applyNumberFormat="1" applyFont="1" applyFill="1" applyBorder="1" applyAlignment="1" applyProtection="1">
      <alignment vertical="center" wrapText="1"/>
      <protection hidden="1"/>
    </xf>
    <xf numFmtId="175" fontId="29" fillId="4" borderId="17" xfId="2" applyNumberFormat="1" applyFont="1" applyFill="1" applyBorder="1" applyAlignment="1" applyProtection="1">
      <alignment vertical="center" wrapText="1"/>
      <protection hidden="1"/>
    </xf>
    <xf numFmtId="173" fontId="29" fillId="3" borderId="17" xfId="2" applyNumberFormat="1" applyFont="1" applyFill="1" applyBorder="1" applyAlignment="1" applyProtection="1">
      <alignment horizontal="right" vertical="center" shrinkToFit="1"/>
      <protection hidden="1"/>
    </xf>
    <xf numFmtId="175" fontId="29" fillId="4" borderId="17" xfId="2" applyNumberFormat="1" applyFont="1" applyFill="1" applyBorder="1" applyAlignment="1" applyProtection="1">
      <alignment vertical="center" shrinkToFit="1"/>
      <protection hidden="1"/>
    </xf>
    <xf numFmtId="49" fontId="30" fillId="3" borderId="5" xfId="0" applyNumberFormat="1" applyFont="1" applyFill="1" applyBorder="1" applyAlignment="1" applyProtection="1">
      <alignment horizontal="center" vertical="center" shrinkToFit="1"/>
      <protection hidden="1"/>
    </xf>
    <xf numFmtId="175" fontId="30" fillId="3" borderId="5" xfId="2" applyNumberFormat="1" applyFont="1" applyFill="1" applyBorder="1" applyAlignment="1" applyProtection="1">
      <alignment horizontal="right" vertical="center" shrinkToFit="1"/>
      <protection hidden="1"/>
    </xf>
    <xf numFmtId="175" fontId="30" fillId="3" borderId="6" xfId="2" applyNumberFormat="1" applyFont="1" applyFill="1" applyBorder="1" applyAlignment="1" applyProtection="1">
      <alignment horizontal="right" vertical="center" shrinkToFit="1"/>
      <protection hidden="1"/>
    </xf>
    <xf numFmtId="9" fontId="30" fillId="3" borderId="3" xfId="3" applyFont="1" applyFill="1" applyBorder="1" applyAlignment="1" applyProtection="1">
      <alignment horizontal="center" vertical="center" shrinkToFit="1"/>
      <protection hidden="1"/>
    </xf>
    <xf numFmtId="175" fontId="30" fillId="3" borderId="5" xfId="2" applyNumberFormat="1" applyFont="1" applyFill="1" applyBorder="1" applyAlignment="1" applyProtection="1">
      <alignment horizontal="center" vertical="center" shrinkToFit="1"/>
      <protection hidden="1"/>
    </xf>
    <xf numFmtId="10" fontId="30" fillId="3" borderId="5" xfId="3" applyNumberFormat="1" applyFont="1" applyFill="1" applyBorder="1" applyAlignment="1" applyProtection="1">
      <alignment horizontal="center" vertical="center" shrinkToFit="1"/>
      <protection hidden="1"/>
    </xf>
    <xf numFmtId="175" fontId="30" fillId="3" borderId="11" xfId="2" applyNumberFormat="1" applyFont="1" applyFill="1" applyBorder="1" applyAlignment="1" applyProtection="1">
      <alignment horizontal="right" vertical="center" shrinkToFit="1"/>
      <protection hidden="1"/>
    </xf>
    <xf numFmtId="175" fontId="30" fillId="3" borderId="7" xfId="2" applyNumberFormat="1" applyFont="1" applyFill="1" applyBorder="1" applyAlignment="1" applyProtection="1">
      <alignment horizontal="right" vertical="center" shrinkToFit="1"/>
      <protection hidden="1"/>
    </xf>
    <xf numFmtId="49" fontId="30" fillId="3" borderId="24" xfId="0" applyNumberFormat="1" applyFont="1" applyFill="1" applyBorder="1" applyAlignment="1" applyProtection="1">
      <alignment horizontal="center" vertical="center" shrinkToFit="1"/>
      <protection hidden="1"/>
    </xf>
    <xf numFmtId="175" fontId="30" fillId="3" borderId="24" xfId="2" applyNumberFormat="1" applyFont="1" applyFill="1" applyBorder="1" applyAlignment="1" applyProtection="1">
      <alignment horizontal="right" vertical="center" shrinkToFit="1"/>
      <protection hidden="1"/>
    </xf>
    <xf numFmtId="175" fontId="30" fillId="3" borderId="25" xfId="2" applyNumberFormat="1" applyFont="1" applyFill="1" applyBorder="1" applyAlignment="1" applyProtection="1">
      <alignment horizontal="right" vertical="center" shrinkToFit="1"/>
      <protection hidden="1"/>
    </xf>
    <xf numFmtId="175" fontId="30" fillId="3" borderId="23" xfId="2" applyNumberFormat="1" applyFont="1" applyFill="1" applyBorder="1" applyAlignment="1" applyProtection="1">
      <alignment horizontal="right" vertical="center" shrinkToFit="1"/>
      <protection hidden="1"/>
    </xf>
    <xf numFmtId="175" fontId="29" fillId="0" borderId="0" xfId="2" applyNumberFormat="1" applyFont="1" applyFill="1" applyBorder="1" applyAlignment="1" applyProtection="1">
      <alignment horizontal="right" vertical="center" shrinkToFit="1"/>
      <protection hidden="1"/>
    </xf>
    <xf numFmtId="175" fontId="29" fillId="18" borderId="17" xfId="2" applyNumberFormat="1" applyFont="1" applyFill="1" applyBorder="1" applyAlignment="1" applyProtection="1">
      <alignment horizontal="right" vertical="center" shrinkToFit="1"/>
      <protection hidden="1"/>
    </xf>
    <xf numFmtId="9" fontId="29" fillId="18" borderId="17" xfId="3" applyFont="1" applyFill="1" applyBorder="1" applyAlignment="1" applyProtection="1">
      <alignment horizontal="center" vertical="center" shrinkToFit="1"/>
      <protection hidden="1"/>
    </xf>
    <xf numFmtId="10" fontId="29" fillId="18" borderId="17" xfId="3" applyNumberFormat="1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vertical="center"/>
      <protection hidden="1"/>
    </xf>
    <xf numFmtId="9" fontId="35" fillId="18" borderId="17" xfId="3" applyFont="1" applyFill="1" applyBorder="1" applyAlignment="1" applyProtection="1">
      <alignment horizontal="center" vertical="center" shrinkToFit="1"/>
      <protection hidden="1"/>
    </xf>
    <xf numFmtId="0" fontId="34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49" fontId="64" fillId="0" borderId="0" xfId="2" applyNumberFormat="1" applyFont="1" applyAlignment="1" applyProtection="1">
      <alignment horizontal="left" vertical="center"/>
      <protection hidden="1"/>
    </xf>
    <xf numFmtId="0" fontId="35" fillId="0" borderId="3" xfId="0" applyFont="1" applyBorder="1" applyAlignment="1" applyProtection="1">
      <alignment horizontal="center" vertical="center" wrapText="1"/>
      <protection hidden="1"/>
    </xf>
    <xf numFmtId="175" fontId="30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 applyProtection="1">
      <alignment horizontal="center" vertical="center" wrapText="1"/>
      <protection hidden="1"/>
    </xf>
    <xf numFmtId="0" fontId="30" fillId="3" borderId="1" xfId="0" applyFont="1" applyFill="1" applyBorder="1" applyAlignment="1" applyProtection="1">
      <alignment horizontal="center" vertical="center" wrapText="1"/>
      <protection hidden="1"/>
    </xf>
    <xf numFmtId="169" fontId="29" fillId="4" borderId="6" xfId="0" applyNumberFormat="1" applyFont="1" applyFill="1" applyBorder="1" applyAlignment="1" applyProtection="1">
      <alignment horizontal="center" vertical="center" shrinkToFit="1"/>
      <protection hidden="1"/>
    </xf>
    <xf numFmtId="171" fontId="29" fillId="0" borderId="2" xfId="0" applyNumberFormat="1" applyFont="1" applyBorder="1" applyAlignment="1" applyProtection="1">
      <alignment horizontal="center" vertical="center" wrapText="1"/>
      <protection hidden="1"/>
    </xf>
    <xf numFmtId="167" fontId="30" fillId="0" borderId="0" xfId="0" applyNumberFormat="1" applyFont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30" fillId="0" borderId="1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0" fillId="0" borderId="7" xfId="0" applyFont="1" applyBorder="1" applyAlignment="1" applyProtection="1">
      <alignment horizontal="center" vertical="center"/>
      <protection hidden="1"/>
    </xf>
    <xf numFmtId="1" fontId="30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30" fillId="0" borderId="1" xfId="0" applyFont="1" applyBorder="1" applyAlignment="1" applyProtection="1">
      <alignment horizontal="center" vertical="center"/>
      <protection hidden="1"/>
    </xf>
    <xf numFmtId="0" fontId="30" fillId="0" borderId="6" xfId="0" applyFont="1" applyBorder="1" applyAlignment="1" applyProtection="1">
      <alignment horizontal="center" vertical="center"/>
      <protection hidden="1"/>
    </xf>
    <xf numFmtId="0" fontId="29" fillId="0" borderId="2" xfId="0" applyFont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9" fillId="0" borderId="2" xfId="0" applyFont="1" applyBorder="1" applyAlignment="1" applyProtection="1">
      <alignment horizontal="center" vertical="center" wrapText="1"/>
      <protection hidden="1"/>
    </xf>
    <xf numFmtId="0" fontId="30" fillId="0" borderId="3" xfId="0" applyFont="1" applyBorder="1" applyAlignment="1" applyProtection="1">
      <alignment horizontal="center" vertical="center" wrapText="1"/>
      <protection hidden="1"/>
    </xf>
    <xf numFmtId="167" fontId="30" fillId="0" borderId="1" xfId="0" applyNumberFormat="1" applyFont="1" applyBorder="1" applyAlignment="1" applyProtection="1">
      <alignment horizontal="center" vertical="center" wrapText="1"/>
      <protection hidden="1"/>
    </xf>
    <xf numFmtId="0" fontId="35" fillId="0" borderId="5" xfId="0" applyFont="1" applyBorder="1" applyAlignment="1" applyProtection="1">
      <alignment horizontal="center" vertical="center" wrapText="1"/>
      <protection hidden="1"/>
    </xf>
    <xf numFmtId="0" fontId="29" fillId="21" borderId="5" xfId="0" applyFont="1" applyFill="1" applyBorder="1" applyAlignment="1" applyProtection="1">
      <alignment horizontal="center" vertical="center" wrapText="1"/>
      <protection hidden="1"/>
    </xf>
    <xf numFmtId="0" fontId="30" fillId="17" borderId="0" xfId="0" applyFont="1" applyFill="1" applyAlignment="1" applyProtection="1">
      <alignment horizontal="center" vertical="center"/>
      <protection hidden="1"/>
    </xf>
    <xf numFmtId="0" fontId="30" fillId="0" borderId="5" xfId="0" applyFont="1" applyBorder="1" applyAlignment="1" applyProtection="1">
      <alignment horizontal="center" vertical="center" wrapText="1"/>
      <protection hidden="1"/>
    </xf>
    <xf numFmtId="175" fontId="34" fillId="3" borderId="5" xfId="2" applyNumberFormat="1" applyFont="1" applyFill="1" applyBorder="1" applyAlignment="1" applyProtection="1">
      <alignment horizontal="center" vertical="center" shrinkToFit="1"/>
      <protection hidden="1"/>
    </xf>
    <xf numFmtId="3" fontId="30" fillId="3" borderId="5" xfId="2" applyNumberFormat="1" applyFont="1" applyFill="1" applyBorder="1" applyAlignment="1" applyProtection="1">
      <alignment horizontal="center" vertical="center" shrinkToFit="1"/>
      <protection hidden="1"/>
    </xf>
    <xf numFmtId="175" fontId="34" fillId="21" borderId="5" xfId="2" applyNumberFormat="1" applyFont="1" applyFill="1" applyBorder="1" applyAlignment="1" applyProtection="1">
      <alignment horizontal="center" vertical="center" shrinkToFit="1"/>
      <protection hidden="1"/>
    </xf>
    <xf numFmtId="9" fontId="30" fillId="0" borderId="5" xfId="0" applyNumberFormat="1" applyFont="1" applyBorder="1" applyAlignment="1" applyProtection="1">
      <alignment horizontal="center" vertical="center" wrapText="1"/>
      <protection hidden="1"/>
    </xf>
    <xf numFmtId="0" fontId="0" fillId="9" borderId="0" xfId="0" applyFill="1" applyAlignment="1" applyProtection="1">
      <alignment vertical="center"/>
      <protection hidden="1"/>
    </xf>
    <xf numFmtId="0" fontId="29" fillId="0" borderId="3" xfId="0" applyFont="1" applyBorder="1" applyAlignment="1" applyProtection="1">
      <alignment horizontal="left" vertical="center"/>
      <protection hidden="1"/>
    </xf>
    <xf numFmtId="0" fontId="29" fillId="17" borderId="1" xfId="0" applyFont="1" applyFill="1" applyBorder="1" applyAlignment="1" applyProtection="1">
      <alignment horizontal="center" vertical="center" wrapText="1"/>
      <protection hidden="1"/>
    </xf>
    <xf numFmtId="167" fontId="28" fillId="17" borderId="1" xfId="0" applyNumberFormat="1" applyFont="1" applyFill="1" applyBorder="1" applyAlignment="1" applyProtection="1">
      <alignment horizontal="center" vertical="center" shrinkToFit="1"/>
      <protection hidden="1"/>
    </xf>
    <xf numFmtId="0" fontId="28" fillId="17" borderId="1" xfId="0" applyFont="1" applyFill="1" applyBorder="1" applyAlignment="1" applyProtection="1">
      <alignment horizontal="center" vertical="center" shrinkToFit="1"/>
      <protection hidden="1"/>
    </xf>
    <xf numFmtId="0" fontId="0" fillId="17" borderId="0" xfId="0" applyFill="1" applyAlignment="1" applyProtection="1">
      <alignment vertical="center" shrinkToFit="1"/>
      <protection hidden="1"/>
    </xf>
    <xf numFmtId="0" fontId="29" fillId="0" borderId="3" xfId="0" applyFont="1" applyBorder="1" applyAlignment="1" applyProtection="1">
      <alignment horizontal="left" vertical="center" wrapText="1"/>
      <protection hidden="1"/>
    </xf>
    <xf numFmtId="0" fontId="30" fillId="17" borderId="1" xfId="0" applyFont="1" applyFill="1" applyBorder="1" applyAlignment="1" applyProtection="1">
      <alignment horizontal="center" vertical="center"/>
      <protection hidden="1"/>
    </xf>
    <xf numFmtId="0" fontId="6" fillId="17" borderId="0" xfId="0" applyFont="1" applyFill="1" applyAlignment="1" applyProtection="1">
      <alignment vertical="center" shrinkToFit="1"/>
      <protection hidden="1"/>
    </xf>
    <xf numFmtId="0" fontId="29" fillId="17" borderId="1" xfId="0" applyFont="1" applyFill="1" applyBorder="1" applyAlignment="1" applyProtection="1">
      <alignment vertical="center" wrapText="1"/>
      <protection hidden="1"/>
    </xf>
    <xf numFmtId="0" fontId="28" fillId="17" borderId="1" xfId="0" applyFont="1" applyFill="1" applyBorder="1" applyAlignment="1" applyProtection="1">
      <alignment vertical="center" shrinkToFit="1"/>
      <protection hidden="1"/>
    </xf>
    <xf numFmtId="0" fontId="6" fillId="0" borderId="0" xfId="0" applyFont="1" applyAlignment="1" applyProtection="1">
      <alignment vertical="center" shrinkToFit="1"/>
      <protection hidden="1"/>
    </xf>
    <xf numFmtId="0" fontId="29" fillId="15" borderId="6" xfId="0" applyFont="1" applyFill="1" applyBorder="1" applyAlignment="1" applyProtection="1">
      <alignment horizontal="center" vertical="center" wrapText="1"/>
      <protection hidden="1"/>
    </xf>
    <xf numFmtId="0" fontId="29" fillId="15" borderId="5" xfId="0" applyFont="1" applyFill="1" applyBorder="1" applyAlignment="1" applyProtection="1">
      <alignment horizontal="center" vertical="center" wrapText="1"/>
      <protection hidden="1"/>
    </xf>
    <xf numFmtId="0" fontId="35" fillId="15" borderId="5" xfId="0" applyFont="1" applyFill="1" applyBorder="1" applyAlignment="1" applyProtection="1">
      <alignment horizontal="center" vertical="center" wrapText="1"/>
      <protection hidden="1"/>
    </xf>
    <xf numFmtId="0" fontId="35" fillId="14" borderId="5" xfId="0" applyFont="1" applyFill="1" applyBorder="1" applyAlignment="1" applyProtection="1">
      <alignment horizontal="center" vertical="center" wrapText="1"/>
      <protection hidden="1"/>
    </xf>
    <xf numFmtId="0" fontId="29" fillId="14" borderId="5" xfId="0" applyFont="1" applyFill="1" applyBorder="1" applyAlignment="1" applyProtection="1">
      <alignment horizontal="center" vertical="center" wrapText="1"/>
      <protection hidden="1"/>
    </xf>
    <xf numFmtId="0" fontId="35" fillId="13" borderId="5" xfId="0" applyFont="1" applyFill="1" applyBorder="1" applyAlignment="1" applyProtection="1">
      <alignment horizontal="center" vertical="center" wrapText="1"/>
      <protection hidden="1"/>
    </xf>
    <xf numFmtId="0" fontId="29" fillId="13" borderId="5" xfId="0" applyFont="1" applyFill="1" applyBorder="1" applyAlignment="1" applyProtection="1">
      <alignment horizontal="center" vertical="center" wrapText="1"/>
      <protection hidden="1"/>
    </xf>
    <xf numFmtId="0" fontId="37" fillId="11" borderId="5" xfId="0" applyFont="1" applyFill="1" applyBorder="1" applyAlignment="1" applyProtection="1">
      <alignment horizontal="center" vertical="center" wrapText="1"/>
      <protection hidden="1"/>
    </xf>
    <xf numFmtId="0" fontId="30" fillId="0" borderId="9" xfId="0" applyFont="1" applyBorder="1" applyAlignment="1" applyProtection="1">
      <alignment horizontal="center" vertical="center" wrapText="1"/>
      <protection hidden="1"/>
    </xf>
    <xf numFmtId="0" fontId="34" fillId="17" borderId="3" xfId="0" applyFont="1" applyFill="1" applyBorder="1" applyAlignment="1" applyProtection="1">
      <alignment vertical="center" shrinkToFit="1"/>
      <protection hidden="1"/>
    </xf>
    <xf numFmtId="0" fontId="34" fillId="17" borderId="1" xfId="0" applyFont="1" applyFill="1" applyBorder="1" applyAlignment="1" applyProtection="1">
      <alignment vertical="center" shrinkToFit="1"/>
      <protection hidden="1"/>
    </xf>
    <xf numFmtId="0" fontId="34" fillId="17" borderId="6" xfId="0" applyFont="1" applyFill="1" applyBorder="1" applyAlignment="1" applyProtection="1">
      <alignment vertical="center" shrinkToFi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6" fillId="0" borderId="0" xfId="0" applyFont="1" applyAlignment="1" applyProtection="1">
      <alignment vertical="center" wrapText="1"/>
      <protection hidden="1"/>
    </xf>
    <xf numFmtId="0" fontId="56" fillId="0" borderId="0" xfId="0" quotePrefix="1" applyFont="1" applyAlignment="1" applyProtection="1">
      <alignment vertical="center" wrapText="1"/>
      <protection hidden="1"/>
    </xf>
    <xf numFmtId="175" fontId="56" fillId="0" borderId="0" xfId="0" applyNumberFormat="1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75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9" fontId="30" fillId="3" borderId="5" xfId="0" applyNumberFormat="1" applyFont="1" applyFill="1" applyBorder="1" applyAlignment="1" applyProtection="1">
      <alignment horizontal="center" vertical="center"/>
      <protection hidden="1"/>
    </xf>
    <xf numFmtId="176" fontId="30" fillId="3" borderId="5" xfId="5" applyNumberFormat="1" applyFont="1" applyFill="1" applyBorder="1" applyAlignment="1" applyProtection="1">
      <alignment horizontal="center" vertical="center" shrinkToFit="1"/>
      <protection hidden="1"/>
    </xf>
    <xf numFmtId="0" fontId="35" fillId="10" borderId="5" xfId="0" applyFont="1" applyFill="1" applyBorder="1" applyAlignment="1" applyProtection="1">
      <alignment horizontal="center" vertical="center" wrapText="1"/>
      <protection hidden="1"/>
    </xf>
    <xf numFmtId="0" fontId="29" fillId="10" borderId="5" xfId="0" applyFont="1" applyFill="1" applyBorder="1" applyAlignment="1" applyProtection="1">
      <alignment horizontal="center" vertical="center" wrapText="1"/>
      <protection hidden="1"/>
    </xf>
    <xf numFmtId="0" fontId="35" fillId="21" borderId="5" xfId="0" applyFont="1" applyFill="1" applyBorder="1" applyAlignment="1" applyProtection="1">
      <alignment horizontal="center" vertical="center" wrapText="1"/>
      <protection hidden="1"/>
    </xf>
    <xf numFmtId="0" fontId="35" fillId="0" borderId="3" xfId="0" applyFont="1" applyBorder="1" applyAlignment="1" applyProtection="1">
      <alignment vertical="center"/>
      <protection hidden="1"/>
    </xf>
    <xf numFmtId="0" fontId="58" fillId="0" borderId="1" xfId="0" applyFont="1" applyBorder="1" applyAlignment="1" applyProtection="1">
      <alignment vertical="center"/>
      <protection hidden="1"/>
    </xf>
    <xf numFmtId="0" fontId="52" fillId="17" borderId="0" xfId="0" applyFont="1" applyFill="1" applyAlignment="1" applyProtection="1">
      <alignment horizontal="center" vertical="center"/>
      <protection hidden="1"/>
    </xf>
    <xf numFmtId="0" fontId="58" fillId="17" borderId="0" xfId="0" applyFont="1" applyFill="1" applyAlignment="1" applyProtection="1">
      <alignment horizontal="center" vertical="center"/>
      <protection hidden="1"/>
    </xf>
    <xf numFmtId="0" fontId="52" fillId="17" borderId="0" xfId="0" applyFont="1" applyFill="1" applyAlignment="1" applyProtection="1">
      <alignment vertical="center"/>
      <protection hidden="1"/>
    </xf>
    <xf numFmtId="0" fontId="30" fillId="0" borderId="0" xfId="5" applyFont="1" applyAlignment="1" applyProtection="1">
      <alignment vertical="center"/>
      <protection hidden="1"/>
    </xf>
    <xf numFmtId="0" fontId="46" fillId="0" borderId="0" xfId="5" applyFont="1" applyAlignment="1" applyProtection="1">
      <alignment vertical="center"/>
      <protection hidden="1"/>
    </xf>
    <xf numFmtId="0" fontId="35" fillId="0" borderId="0" xfId="5" applyFont="1" applyAlignment="1" applyProtection="1">
      <alignment horizontal="center" vertical="center" wrapText="1"/>
      <protection hidden="1"/>
    </xf>
    <xf numFmtId="0" fontId="34" fillId="0" borderId="0" xfId="5" applyFont="1" applyAlignment="1" applyProtection="1">
      <alignment vertical="center"/>
      <protection hidden="1"/>
    </xf>
    <xf numFmtId="0" fontId="34" fillId="0" borderId="0" xfId="5" applyFont="1" applyProtection="1">
      <protection locked="0"/>
    </xf>
    <xf numFmtId="0" fontId="30" fillId="0" borderId="0" xfId="5" applyFont="1" applyAlignment="1" applyProtection="1">
      <alignment vertical="center"/>
      <protection locked="0"/>
    </xf>
    <xf numFmtId="0" fontId="34" fillId="0" borderId="0" xfId="5" applyFont="1" applyAlignment="1" applyProtection="1">
      <alignment vertical="center" wrapText="1"/>
      <protection locked="0"/>
    </xf>
    <xf numFmtId="0" fontId="29" fillId="0" borderId="0" xfId="5" applyFont="1" applyAlignment="1" applyProtection="1">
      <alignment vertical="center"/>
      <protection locked="0"/>
    </xf>
    <xf numFmtId="0" fontId="30" fillId="0" borderId="0" xfId="5" applyFont="1" applyAlignment="1" applyProtection="1">
      <alignment horizontal="center" vertical="center"/>
      <protection locked="0"/>
    </xf>
    <xf numFmtId="0" fontId="35" fillId="0" borderId="0" xfId="5" applyFont="1" applyAlignment="1" applyProtection="1">
      <alignment vertical="center"/>
      <protection locked="0"/>
    </xf>
    <xf numFmtId="0" fontId="34" fillId="0" borderId="0" xfId="5" applyFont="1" applyAlignment="1" applyProtection="1">
      <alignment wrapText="1"/>
      <protection locked="0"/>
    </xf>
    <xf numFmtId="0" fontId="53" fillId="0" borderId="0" xfId="5" applyFont="1" applyAlignment="1" applyProtection="1">
      <alignment vertical="center"/>
      <protection locked="0"/>
    </xf>
    <xf numFmtId="0" fontId="52" fillId="0" borderId="0" xfId="5" applyFont="1" applyAlignment="1" applyProtection="1">
      <alignment vertical="center"/>
      <protection locked="0"/>
    </xf>
    <xf numFmtId="0" fontId="30" fillId="0" borderId="0" xfId="5" applyFont="1" applyAlignment="1" applyProtection="1">
      <alignment vertical="center" shrinkToFit="1"/>
      <protection locked="0"/>
    </xf>
    <xf numFmtId="0" fontId="34" fillId="0" borderId="0" xfId="5" applyFont="1" applyAlignment="1" applyProtection="1">
      <alignment vertical="center" shrinkToFit="1"/>
      <protection locked="0"/>
    </xf>
    <xf numFmtId="0" fontId="30" fillId="0" borderId="0" xfId="5" applyFont="1" applyAlignment="1" applyProtection="1">
      <alignment horizontal="center"/>
      <protection locked="0"/>
    </xf>
    <xf numFmtId="0" fontId="53" fillId="9" borderId="10" xfId="0" applyFont="1" applyFill="1" applyBorder="1" applyAlignment="1" applyProtection="1">
      <alignment horizontal="center" vertical="center"/>
      <protection locked="0" hidden="1"/>
    </xf>
    <xf numFmtId="0" fontId="53" fillId="9" borderId="0" xfId="0" applyFont="1" applyFill="1" applyAlignment="1" applyProtection="1">
      <alignment vertical="center"/>
      <protection locked="0" hidden="1"/>
    </xf>
    <xf numFmtId="0" fontId="51" fillId="9" borderId="0" xfId="0" applyFont="1" applyFill="1" applyAlignment="1" applyProtection="1">
      <alignment horizontal="right" vertical="center" wrapText="1"/>
      <protection locked="0" hidden="1"/>
    </xf>
    <xf numFmtId="0" fontId="14" fillId="9" borderId="0" xfId="0" applyFont="1" applyFill="1" applyAlignment="1" applyProtection="1">
      <alignment vertical="center"/>
      <protection locked="0" hidden="1"/>
    </xf>
    <xf numFmtId="0" fontId="29" fillId="16" borderId="5" xfId="0" applyFont="1" applyFill="1" applyBorder="1" applyAlignment="1" applyProtection="1">
      <alignment horizontal="center" vertical="center" wrapText="1"/>
      <protection hidden="1"/>
    </xf>
    <xf numFmtId="0" fontId="45" fillId="0" borderId="1" xfId="5" applyFont="1" applyBorder="1" applyAlignment="1">
      <alignment horizontal="center" vertical="center"/>
    </xf>
    <xf numFmtId="0" fontId="67" fillId="9" borderId="0" xfId="0" applyFont="1" applyFill="1" applyAlignment="1" applyProtection="1">
      <alignment vertical="center"/>
      <protection locked="0"/>
    </xf>
    <xf numFmtId="0" fontId="14" fillId="9" borderId="0" xfId="0" applyFont="1" applyFill="1" applyAlignment="1" applyProtection="1">
      <alignment vertical="center"/>
      <protection locked="0"/>
    </xf>
    <xf numFmtId="0" fontId="29" fillId="16" borderId="5" xfId="5" applyFont="1" applyFill="1" applyBorder="1" applyAlignment="1" applyProtection="1">
      <alignment horizontal="center" vertical="center" wrapText="1"/>
      <protection hidden="1"/>
    </xf>
    <xf numFmtId="10" fontId="34" fillId="0" borderId="0" xfId="2" applyNumberFormat="1" applyFont="1" applyFill="1" applyBorder="1" applyAlignment="1" applyProtection="1">
      <alignment horizontal="center" vertical="center" wrapText="1"/>
    </xf>
    <xf numFmtId="175" fontId="29" fillId="18" borderId="17" xfId="2" applyNumberFormat="1" applyFont="1" applyFill="1" applyBorder="1" applyAlignment="1" applyProtection="1">
      <alignment horizontal="right" vertical="center" shrinkToFit="1"/>
    </xf>
    <xf numFmtId="5" fontId="35" fillId="19" borderId="17" xfId="2" applyNumberFormat="1" applyFont="1" applyFill="1" applyBorder="1" applyAlignment="1" applyProtection="1">
      <alignment horizontal="center" vertical="center" shrinkToFit="1"/>
    </xf>
    <xf numFmtId="0" fontId="27" fillId="0" borderId="0" xfId="0" applyFont="1" applyAlignment="1">
      <alignment horizontal="right" vertical="center"/>
    </xf>
    <xf numFmtId="10" fontId="36" fillId="0" borderId="0" xfId="3" applyNumberFormat="1" applyFont="1" applyFill="1" applyBorder="1" applyAlignment="1" applyProtection="1">
      <alignment horizontal="left" vertical="center" shrinkToFit="1"/>
    </xf>
    <xf numFmtId="0" fontId="3" fillId="0" borderId="0" xfId="0" applyFont="1" applyAlignment="1">
      <alignment vertical="center" wrapText="1"/>
    </xf>
    <xf numFmtId="0" fontId="29" fillId="8" borderId="16" xfId="0" applyFont="1" applyFill="1" applyBorder="1" applyAlignment="1">
      <alignment horizontal="center" vertical="center" wrapText="1"/>
    </xf>
    <xf numFmtId="0" fontId="35" fillId="13" borderId="3" xfId="0" applyFont="1" applyFill="1" applyBorder="1" applyAlignment="1" applyProtection="1">
      <alignment horizontal="center" vertical="center" wrapText="1"/>
      <protection hidden="1"/>
    </xf>
    <xf numFmtId="0" fontId="35" fillId="13" borderId="1" xfId="0" applyFont="1" applyFill="1" applyBorder="1" applyAlignment="1" applyProtection="1">
      <alignment horizontal="center" vertical="center" wrapText="1"/>
      <protection hidden="1"/>
    </xf>
    <xf numFmtId="0" fontId="35" fillId="13" borderId="6" xfId="0" applyFont="1" applyFill="1" applyBorder="1" applyAlignment="1" applyProtection="1">
      <alignment horizontal="center" vertical="center" wrapText="1"/>
      <protection hidden="1"/>
    </xf>
    <xf numFmtId="0" fontId="35" fillId="14" borderId="3" xfId="0" applyFont="1" applyFill="1" applyBorder="1" applyAlignment="1" applyProtection="1">
      <alignment horizontal="center" vertical="center" wrapText="1"/>
      <protection hidden="1"/>
    </xf>
    <xf numFmtId="0" fontId="29" fillId="0" borderId="5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2" fillId="2" borderId="15" xfId="0" applyFont="1" applyFill="1" applyBorder="1" applyAlignment="1" applyProtection="1">
      <alignment horizontal="center" vertical="center" wrapText="1"/>
      <protection locked="0"/>
    </xf>
    <xf numFmtId="0" fontId="32" fillId="0" borderId="15" xfId="0" applyFont="1" applyBorder="1" applyAlignment="1" applyProtection="1">
      <alignment horizontal="center" vertical="center" wrapText="1"/>
      <protection locked="0"/>
    </xf>
    <xf numFmtId="0" fontId="32" fillId="0" borderId="8" xfId="0" applyFont="1" applyBorder="1" applyAlignment="1" applyProtection="1">
      <alignment horizontal="center" vertical="center" wrapText="1"/>
      <protection locked="0"/>
    </xf>
    <xf numFmtId="0" fontId="29" fillId="0" borderId="13" xfId="0" applyFont="1" applyBorder="1" applyAlignment="1">
      <alignment horizontal="right" vertical="center" wrapText="1"/>
    </xf>
    <xf numFmtId="0" fontId="29" fillId="0" borderId="15" xfId="0" applyFont="1" applyBorder="1" applyAlignment="1">
      <alignment horizontal="righ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33" fillId="0" borderId="8" xfId="0" applyFont="1" applyBorder="1" applyAlignment="1" applyProtection="1">
      <alignment vertical="center" wrapText="1"/>
      <protection locked="0"/>
    </xf>
    <xf numFmtId="0" fontId="29" fillId="18" borderId="21" xfId="0" applyFont="1" applyFill="1" applyBorder="1" applyAlignment="1" applyProtection="1">
      <alignment horizontal="left" vertical="center" wrapText="1"/>
      <protection hidden="1"/>
    </xf>
    <xf numFmtId="0" fontId="29" fillId="18" borderId="22" xfId="0" applyFont="1" applyFill="1" applyBorder="1" applyAlignment="1" applyProtection="1">
      <alignment horizontal="left" vertical="center" wrapText="1"/>
      <protection hidden="1"/>
    </xf>
    <xf numFmtId="0" fontId="29" fillId="7" borderId="3" xfId="0" applyFont="1" applyFill="1" applyBorder="1" applyAlignment="1">
      <alignment horizontal="center" vertical="center" wrapText="1"/>
    </xf>
    <xf numFmtId="0" fontId="29" fillId="7" borderId="6" xfId="0" applyFont="1" applyFill="1" applyBorder="1" applyAlignment="1">
      <alignment horizontal="center" vertical="center" wrapText="1"/>
    </xf>
    <xf numFmtId="0" fontId="45" fillId="6" borderId="4" xfId="0" applyFont="1" applyFill="1" applyBorder="1" applyAlignment="1">
      <alignment horizontal="left" vertical="center"/>
    </xf>
    <xf numFmtId="0" fontId="35" fillId="0" borderId="14" xfId="0" applyFont="1" applyBorder="1" applyAlignment="1" applyProtection="1">
      <alignment horizontal="center" vertical="center" wrapText="1"/>
      <protection hidden="1"/>
    </xf>
    <xf numFmtId="0" fontId="35" fillId="0" borderId="23" xfId="0" applyFont="1" applyBorder="1" applyAlignment="1" applyProtection="1">
      <alignment horizontal="center" vertical="center" wrapText="1"/>
      <protection hidden="1"/>
    </xf>
    <xf numFmtId="0" fontId="35" fillId="15" borderId="1" xfId="0" applyFont="1" applyFill="1" applyBorder="1" applyAlignment="1" applyProtection="1">
      <alignment horizontal="center" vertical="center" wrapText="1"/>
      <protection hidden="1"/>
    </xf>
    <xf numFmtId="0" fontId="35" fillId="15" borderId="6" xfId="0" applyFont="1" applyFill="1" applyBorder="1" applyAlignment="1" applyProtection="1">
      <alignment horizontal="center" vertical="center" wrapText="1"/>
      <protection hidden="1"/>
    </xf>
    <xf numFmtId="0" fontId="35" fillId="0" borderId="4" xfId="0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 applyProtection="1">
      <alignment horizontal="right" vertical="center" wrapText="1"/>
      <protection hidden="1"/>
    </xf>
    <xf numFmtId="0" fontId="35" fillId="0" borderId="12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29" fillId="3" borderId="21" xfId="0" applyFont="1" applyFill="1" applyBorder="1" applyAlignment="1" applyProtection="1">
      <alignment horizontal="left" vertical="center" wrapText="1"/>
      <protection hidden="1"/>
    </xf>
    <xf numFmtId="0" fontId="29" fillId="3" borderId="22" xfId="0" applyFont="1" applyFill="1" applyBorder="1" applyAlignment="1" applyProtection="1">
      <alignment horizontal="left" vertical="center" wrapText="1"/>
      <protection hidden="1"/>
    </xf>
    <xf numFmtId="0" fontId="29" fillId="17" borderId="0" xfId="0" applyFont="1" applyFill="1" applyAlignment="1" applyProtection="1">
      <alignment horizontal="left" vertical="center" wrapText="1"/>
      <protection hidden="1"/>
    </xf>
    <xf numFmtId="0" fontId="50" fillId="2" borderId="18" xfId="5" applyFont="1" applyFill="1" applyBorder="1" applyAlignment="1" applyProtection="1">
      <alignment horizontal="left" vertical="top" wrapText="1"/>
      <protection locked="0"/>
    </xf>
    <xf numFmtId="0" fontId="34" fillId="2" borderId="19" xfId="5" applyFont="1" applyFill="1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11" xfId="0" applyBorder="1" applyAlignment="1">
      <alignment wrapText="1"/>
    </xf>
    <xf numFmtId="0" fontId="34" fillId="2" borderId="14" xfId="5" applyFont="1" applyFill="1" applyBorder="1" applyAlignment="1" applyProtection="1">
      <alignment horizontal="left" vertical="top" wrapText="1"/>
      <protection locked="0"/>
    </xf>
    <xf numFmtId="0" fontId="34" fillId="2" borderId="4" xfId="5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23" xfId="0" applyBorder="1" applyAlignment="1">
      <alignment wrapText="1"/>
    </xf>
    <xf numFmtId="0" fontId="60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9" fillId="16" borderId="3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>
      <alignment vertical="center"/>
    </xf>
    <xf numFmtId="49" fontId="64" fillId="0" borderId="0" xfId="2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4" fillId="21" borderId="27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28" xfId="0" applyBorder="1" applyAlignment="1">
      <alignment horizontal="center" vertical="center" wrapText="1"/>
    </xf>
    <xf numFmtId="0" fontId="35" fillId="7" borderId="3" xfId="5" applyFont="1" applyFill="1" applyBorder="1" applyAlignment="1">
      <alignment horizontal="center" vertical="center"/>
    </xf>
    <xf numFmtId="0" fontId="29" fillId="7" borderId="6" xfId="5" applyFont="1" applyFill="1" applyBorder="1" applyAlignment="1">
      <alignment horizontal="center" vertical="center"/>
    </xf>
    <xf numFmtId="0" fontId="29" fillId="8" borderId="16" xfId="5" applyFont="1" applyFill="1" applyBorder="1" applyAlignment="1">
      <alignment horizontal="center" vertical="center" wrapText="1"/>
    </xf>
    <xf numFmtId="0" fontId="31" fillId="5" borderId="15" xfId="5" applyFont="1" applyFill="1" applyBorder="1" applyAlignment="1" applyProtection="1">
      <alignment horizontal="center" vertical="center" wrapText="1"/>
      <protection locked="0"/>
    </xf>
    <xf numFmtId="0" fontId="35" fillId="5" borderId="15" xfId="5" applyFont="1" applyFill="1" applyBorder="1" applyAlignment="1" applyProtection="1">
      <alignment horizontal="center" vertical="center" wrapText="1"/>
      <protection locked="0"/>
    </xf>
    <xf numFmtId="0" fontId="35" fillId="5" borderId="8" xfId="5" applyFont="1" applyFill="1" applyBorder="1" applyAlignment="1" applyProtection="1">
      <alignment horizontal="center" vertical="center" wrapText="1"/>
      <protection locked="0"/>
    </xf>
    <xf numFmtId="14" fontId="31" fillId="5" borderId="15" xfId="5" applyNumberFormat="1" applyFont="1" applyFill="1" applyBorder="1" applyAlignment="1" applyProtection="1">
      <alignment horizontal="center" vertical="center" wrapText="1"/>
      <protection locked="0"/>
    </xf>
    <xf numFmtId="0" fontId="31" fillId="5" borderId="8" xfId="5" applyFont="1" applyFill="1" applyBorder="1" applyAlignment="1" applyProtection="1">
      <alignment horizontal="center" vertical="center" wrapText="1"/>
      <protection locked="0"/>
    </xf>
    <xf numFmtId="0" fontId="29" fillId="17" borderId="3" xfId="5" applyFont="1" applyFill="1" applyBorder="1" applyAlignment="1">
      <alignment horizontal="left" vertical="center" wrapText="1"/>
    </xf>
    <xf numFmtId="0" fontId="29" fillId="17" borderId="1" xfId="5" applyFont="1" applyFill="1" applyBorder="1" applyAlignment="1">
      <alignment horizontal="left" vertical="center" wrapText="1"/>
    </xf>
    <xf numFmtId="0" fontId="29" fillId="0" borderId="3" xfId="5" applyFont="1" applyBorder="1" applyAlignment="1">
      <alignment horizontal="right" vertical="center" wrapText="1"/>
    </xf>
    <xf numFmtId="0" fontId="29" fillId="0" borderId="6" xfId="5" applyFont="1" applyBorder="1" applyAlignment="1">
      <alignment horizontal="right" vertical="center" wrapText="1"/>
    </xf>
    <xf numFmtId="0" fontId="29" fillId="10" borderId="5" xfId="5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/>
      <protection hidden="1"/>
    </xf>
    <xf numFmtId="0" fontId="35" fillId="12" borderId="5" xfId="0" applyFont="1" applyFill="1" applyBorder="1" applyAlignment="1" applyProtection="1">
      <alignment horizontal="center" vertical="center" wrapText="1"/>
      <protection hidden="1"/>
    </xf>
    <xf numFmtId="0" fontId="35" fillId="22" borderId="5" xfId="0" applyFont="1" applyFill="1" applyBorder="1" applyAlignment="1" applyProtection="1">
      <alignment horizontal="center" vertical="center" wrapText="1"/>
      <protection hidden="1"/>
    </xf>
    <xf numFmtId="0" fontId="45" fillId="6" borderId="0" xfId="5" applyFont="1" applyFill="1" applyAlignment="1">
      <alignment horizontal="left" vertical="center"/>
    </xf>
    <xf numFmtId="0" fontId="35" fillId="10" borderId="5" xfId="0" applyFont="1" applyFill="1" applyBorder="1" applyAlignment="1" applyProtection="1">
      <alignment horizontal="center" vertical="center" wrapText="1"/>
      <protection hidden="1"/>
    </xf>
    <xf numFmtId="0" fontId="29" fillId="19" borderId="13" xfId="5" applyFont="1" applyFill="1" applyBorder="1" applyAlignment="1" applyProtection="1">
      <alignment horizontal="right" vertical="center" shrinkToFit="1"/>
      <protection hidden="1"/>
    </xf>
    <xf numFmtId="0" fontId="29" fillId="19" borderId="15" xfId="5" applyFont="1" applyFill="1" applyBorder="1" applyAlignment="1" applyProtection="1">
      <alignment horizontal="right" vertical="center" shrinkToFit="1"/>
      <protection hidden="1"/>
    </xf>
    <xf numFmtId="0" fontId="8" fillId="19" borderId="8" xfId="0" applyFont="1" applyFill="1" applyBorder="1" applyAlignment="1" applyProtection="1">
      <alignment horizontal="right" vertical="center" shrinkToFit="1"/>
      <protection hidden="1"/>
    </xf>
    <xf numFmtId="0" fontId="35" fillId="0" borderId="5" xfId="5" applyFont="1" applyBorder="1" applyAlignment="1">
      <alignment horizontal="center" vertical="center" wrapText="1"/>
    </xf>
    <xf numFmtId="0" fontId="35" fillId="3" borderId="3" xfId="5" applyFont="1" applyFill="1" applyBorder="1" applyAlignment="1" applyProtection="1">
      <alignment horizontal="right" vertical="center" wrapText="1"/>
      <protection hidden="1"/>
    </xf>
    <xf numFmtId="0" fontId="14" fillId="3" borderId="4" xfId="0" applyFont="1" applyFill="1" applyBorder="1" applyAlignment="1" applyProtection="1">
      <alignment horizontal="right" vertical="center" wrapText="1"/>
      <protection hidden="1"/>
    </xf>
    <xf numFmtId="0" fontId="14" fillId="3" borderId="23" xfId="0" applyFont="1" applyFill="1" applyBorder="1" applyAlignment="1" applyProtection="1">
      <alignment horizontal="right" vertical="center" wrapText="1"/>
      <protection hidden="1"/>
    </xf>
    <xf numFmtId="0" fontId="29" fillId="0" borderId="1" xfId="5" applyFont="1" applyBorder="1" applyAlignment="1" applyProtection="1">
      <alignment horizontal="right" vertical="center" wrapText="1"/>
      <protection hidden="1"/>
    </xf>
    <xf numFmtId="0" fontId="0" fillId="0" borderId="6" xfId="0" applyBorder="1" applyAlignment="1" applyProtection="1">
      <alignment horizontal="right" vertical="center"/>
      <protection hidden="1"/>
    </xf>
    <xf numFmtId="0" fontId="6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</cellXfs>
  <cellStyles count="8">
    <cellStyle name="Milliers [0]" xfId="1" builtinId="6"/>
    <cellStyle name="Monétaire" xfId="4" builtinId="4"/>
    <cellStyle name="Monétaire [0]" xfId="2" builtinId="7"/>
    <cellStyle name="Monétaire 2" xfId="6" xr:uid="{84D04B93-411A-4C2C-8F48-119ABFDCAC65}"/>
    <cellStyle name="Monétaire 3" xfId="7" xr:uid="{28CA1507-ACF2-48A2-A328-A01B94897912}"/>
    <cellStyle name="Normal" xfId="0" builtinId="0"/>
    <cellStyle name="Normal 2" xfId="5" xr:uid="{EE046D95-4259-4A10-9DEF-5D9B78A2DBDD}"/>
    <cellStyle name="Pourcentage" xfId="3" builtinId="5"/>
  </cellStyles>
  <dxfs count="12"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ont>
        <color rgb="FF9C0006"/>
      </font>
    </dxf>
    <dxf>
      <font>
        <color rgb="FF9C0006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1F497D"/>
      <color rgb="FFD9D9D9"/>
      <color rgb="FFBFBFBF"/>
      <color rgb="FFFABF8F"/>
      <color rgb="FFE1EB81"/>
      <color rgb="FFF4750C"/>
      <color rgb="FFF8A15A"/>
      <color rgb="FFF58427"/>
      <color rgb="FFF7994B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Lines="22" dropStyle="combo" dx="16" fmlaLink="$A$58" fmlaRange="$B$59:$B$80" sel="22" val="0"/>
</file>

<file path=xl/ctrlProps/ctrlProp2.xml><?xml version="1.0" encoding="utf-8"?>
<formControlPr xmlns="http://schemas.microsoft.com/office/spreadsheetml/2009/9/main" objectType="Drop" dropLines="3" dropStyle="combo" dx="16" fmlaLink="$I$58" fmlaRange="$I$75:$I$77" sel="1" val="0"/>
</file>

<file path=xl/ctrlProps/ctrlProp3.xml><?xml version="1.0" encoding="utf-8"?>
<formControlPr xmlns="http://schemas.microsoft.com/office/spreadsheetml/2009/9/main" objectType="Drop" dropLines="21" dropStyle="combo" dx="16" fmlaLink="$A$58" fmlaRange="$B$58:$B$78" sel="1" val="0"/>
</file>

<file path=xl/ctrlProps/ctrlProp4.xml><?xml version="1.0" encoding="utf-8"?>
<formControlPr xmlns="http://schemas.microsoft.com/office/spreadsheetml/2009/9/main" objectType="Drop" dropLines="3" dropStyle="combo" dx="16" fmlaLink="$K$58" fmlaRange="$K$74:$K$76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12</xdr:row>
          <xdr:rowOff>38100</xdr:rowOff>
        </xdr:from>
        <xdr:to>
          <xdr:col>6</xdr:col>
          <xdr:colOff>403860</xdr:colOff>
          <xdr:row>12</xdr:row>
          <xdr:rowOff>350520</xdr:rowOff>
        </xdr:to>
        <xdr:sp macro="" textlink="">
          <xdr:nvSpPr>
            <xdr:cNvPr id="1081" name="Drop Dow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1135380</xdr:colOff>
          <xdr:row>10</xdr:row>
          <xdr:rowOff>38100</xdr:rowOff>
        </xdr:from>
        <xdr:to>
          <xdr:col>3</xdr:col>
          <xdr:colOff>960120</xdr:colOff>
          <xdr:row>10</xdr:row>
          <xdr:rowOff>342900</xdr:rowOff>
        </xdr:to>
        <xdr:sp macro="" textlink="">
          <xdr:nvSpPr>
            <xdr:cNvPr id="1100" name="Drop Dow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0</xdr:col>
      <xdr:colOff>0</xdr:colOff>
      <xdr:row>0</xdr:row>
      <xdr:rowOff>26958</xdr:rowOff>
    </xdr:from>
    <xdr:ext cx="1135380" cy="896651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958"/>
          <a:ext cx="1135380" cy="89665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9</xdr:row>
          <xdr:rowOff>152400</xdr:rowOff>
        </xdr:from>
        <xdr:to>
          <xdr:col>5</xdr:col>
          <xdr:colOff>594360</xdr:colOff>
          <xdr:row>11</xdr:row>
          <xdr:rowOff>7620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0</xdr:col>
      <xdr:colOff>114300</xdr:colOff>
      <xdr:row>0</xdr:row>
      <xdr:rowOff>0</xdr:rowOff>
    </xdr:from>
    <xdr:ext cx="894715" cy="896651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894715" cy="896651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525780</xdr:colOff>
          <xdr:row>8</xdr:row>
          <xdr:rowOff>30480</xdr:rowOff>
        </xdr:from>
        <xdr:to>
          <xdr:col>3</xdr:col>
          <xdr:colOff>1028700</xdr:colOff>
          <xdr:row>8</xdr:row>
          <xdr:rowOff>373380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S100"/>
  <sheetViews>
    <sheetView topLeftCell="A81" zoomScaleNormal="100" zoomScaleSheetLayoutView="100" workbookViewId="0">
      <selection activeCell="E11" sqref="E11"/>
    </sheetView>
  </sheetViews>
  <sheetFormatPr baseColWidth="10" defaultColWidth="8.90625" defaultRowHeight="15" x14ac:dyDescent="0.25"/>
  <cols>
    <col min="1" max="1" width="8.6328125" style="446" customWidth="1"/>
    <col min="2" max="2" width="18.453125" style="447" customWidth="1"/>
    <col min="3" max="6" width="12.6328125" style="446" customWidth="1"/>
    <col min="7" max="7" width="12.453125" style="446" customWidth="1"/>
    <col min="8" max="9" width="12.6328125" style="446" customWidth="1"/>
    <col min="10" max="13" width="11.81640625" style="446" customWidth="1"/>
    <col min="14" max="14" width="13" style="448" customWidth="1"/>
    <col min="15" max="15" width="14.08984375" style="446" hidden="1" customWidth="1"/>
    <col min="16" max="16" width="12.1796875" style="446" hidden="1" customWidth="1"/>
    <col min="17" max="17" width="12" style="446" hidden="1" customWidth="1"/>
    <col min="18" max="18" width="16.08984375" style="446" customWidth="1"/>
    <col min="19" max="19" width="9.6328125" style="446" bestFit="1" customWidth="1"/>
    <col min="20" max="42" width="8.90625" style="446"/>
    <col min="43" max="16384" width="8.90625" style="449"/>
  </cols>
  <sheetData>
    <row r="1" spans="1:44" ht="76.2" customHeight="1" thickBot="1" x14ac:dyDescent="0.3">
      <c r="A1" s="2"/>
      <c r="B1" s="157"/>
      <c r="C1" s="507" t="s">
        <v>0</v>
      </c>
      <c r="D1" s="507"/>
      <c r="E1" s="507"/>
      <c r="F1" s="507"/>
      <c r="G1" s="507"/>
      <c r="H1" s="507"/>
      <c r="I1" s="507"/>
      <c r="J1" s="507"/>
      <c r="K1" s="507"/>
      <c r="L1" s="1"/>
      <c r="M1" s="1"/>
      <c r="N1"/>
      <c r="O1" s="1"/>
      <c r="P1" s="1"/>
      <c r="Q1" s="1"/>
      <c r="R1" s="1"/>
      <c r="AQ1" s="450"/>
      <c r="AR1" s="450"/>
    </row>
    <row r="2" spans="1:44" s="452" customFormat="1" ht="39.9" customHeight="1" thickBot="1" x14ac:dyDescent="0.3">
      <c r="A2" s="44" t="s">
        <v>1</v>
      </c>
      <c r="B2" s="514"/>
      <c r="C2" s="515"/>
      <c r="D2" s="516"/>
      <c r="E2" s="44" t="s">
        <v>2</v>
      </c>
      <c r="F2" s="514"/>
      <c r="G2" s="514"/>
      <c r="H2" s="521"/>
      <c r="I2" s="517" t="s">
        <v>3</v>
      </c>
      <c r="J2" s="518"/>
      <c r="K2" s="45"/>
      <c r="L2" s="1"/>
      <c r="M2" s="1"/>
      <c r="N2"/>
      <c r="O2" s="1"/>
      <c r="P2" s="1"/>
      <c r="Q2" s="1"/>
      <c r="R2" s="1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  <c r="AJ2" s="446"/>
      <c r="AK2" s="446"/>
      <c r="AL2" s="446"/>
      <c r="AM2" s="446"/>
      <c r="AN2" s="446"/>
      <c r="AO2" s="446"/>
      <c r="AP2" s="451"/>
      <c r="AQ2" s="451"/>
      <c r="AR2" s="451"/>
    </row>
    <row r="3" spans="1:44" s="452" customFormat="1" ht="22.5" customHeight="1" x14ac:dyDescent="0.25">
      <c r="A3" s="57" t="s">
        <v>4</v>
      </c>
      <c r="B3" s="40"/>
      <c r="C3" s="41"/>
      <c r="D3" s="8"/>
      <c r="E3" s="22"/>
      <c r="F3" s="9"/>
      <c r="G3" s="10"/>
      <c r="H3" s="22"/>
      <c r="I3" s="9"/>
      <c r="J3" s="11"/>
      <c r="K3" s="11"/>
      <c r="L3" s="1"/>
      <c r="M3" s="1"/>
      <c r="N3"/>
      <c r="O3" s="1"/>
      <c r="P3" s="1"/>
      <c r="Q3" s="1"/>
      <c r="R3" s="1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  <c r="AG3" s="446"/>
      <c r="AH3" s="446"/>
      <c r="AI3" s="446"/>
      <c r="AJ3" s="446"/>
      <c r="AK3" s="446"/>
      <c r="AL3" s="446"/>
      <c r="AM3" s="446"/>
      <c r="AN3" s="446"/>
      <c r="AO3" s="446"/>
      <c r="AP3" s="451"/>
      <c r="AQ3" s="451"/>
      <c r="AR3" s="451"/>
    </row>
    <row r="4" spans="1:44" ht="17.100000000000001" customHeight="1" x14ac:dyDescent="0.25">
      <c r="A4" s="11"/>
      <c r="B4" s="177"/>
      <c r="C4" s="178"/>
      <c r="D4" s="12"/>
      <c r="E4" s="12"/>
      <c r="F4" s="12"/>
      <c r="G4" s="13"/>
      <c r="H4" s="14"/>
      <c r="I4" s="14"/>
      <c r="J4" s="14"/>
      <c r="K4" s="14"/>
      <c r="L4" s="1"/>
      <c r="M4" s="1"/>
      <c r="N4"/>
      <c r="O4" s="1"/>
      <c r="P4" s="1"/>
      <c r="Q4" s="1"/>
      <c r="R4" s="1"/>
      <c r="AQ4" s="450"/>
      <c r="AR4" s="450"/>
    </row>
    <row r="5" spans="1:44" s="158" customFormat="1" ht="30" customHeight="1" x14ac:dyDescent="0.25">
      <c r="A5" s="15"/>
      <c r="B5" s="20"/>
      <c r="C5" s="512" t="s">
        <v>5</v>
      </c>
      <c r="D5" s="513"/>
      <c r="E5" s="58"/>
      <c r="F5" s="42" t="s">
        <v>6</v>
      </c>
      <c r="G5" s="59"/>
      <c r="H5" s="42" t="s">
        <v>7</v>
      </c>
      <c r="I5" s="59"/>
      <c r="J5" s="42" t="s">
        <v>8</v>
      </c>
      <c r="K5" s="60">
        <f>(G5*I5)/60</f>
        <v>0</v>
      </c>
      <c r="M5" s="5"/>
      <c r="N5"/>
      <c r="O5" s="208"/>
      <c r="P5" s="5"/>
      <c r="Q5" s="22"/>
      <c r="R5" s="2"/>
      <c r="S5" s="453"/>
      <c r="T5" s="453"/>
      <c r="U5" s="453"/>
      <c r="V5" s="453"/>
      <c r="W5" s="453"/>
      <c r="X5" s="454"/>
      <c r="Y5" s="454"/>
      <c r="Z5" s="453"/>
      <c r="AA5" s="455"/>
      <c r="AB5" s="453"/>
      <c r="AC5" s="453"/>
      <c r="AD5" s="453"/>
      <c r="AE5" s="453"/>
      <c r="AF5" s="453"/>
      <c r="AG5" s="453"/>
      <c r="AH5" s="453"/>
      <c r="AI5" s="453"/>
      <c r="AJ5" s="453"/>
      <c r="AK5" s="453"/>
      <c r="AL5" s="453"/>
      <c r="AM5" s="453"/>
      <c r="AN5" s="453"/>
      <c r="AO5" s="453"/>
      <c r="AP5" s="453"/>
      <c r="AQ5" s="453"/>
      <c r="AR5" s="453"/>
    </row>
    <row r="6" spans="1:44" ht="17.100000000000001" customHeight="1" x14ac:dyDescent="0.25">
      <c r="A6" s="11"/>
      <c r="B6" s="177"/>
      <c r="C6" s="178"/>
      <c r="D6" s="12"/>
      <c r="E6" s="12"/>
      <c r="F6" s="12"/>
      <c r="G6" s="13"/>
      <c r="H6" s="14"/>
      <c r="I6" s="14"/>
      <c r="J6" s="14"/>
      <c r="K6" s="14"/>
      <c r="L6" s="1"/>
      <c r="M6" s="1"/>
      <c r="N6"/>
      <c r="O6" s="1"/>
      <c r="P6" s="1"/>
      <c r="Q6" s="1"/>
      <c r="R6" s="1"/>
      <c r="AQ6" s="450"/>
      <c r="AR6" s="450"/>
    </row>
    <row r="7" spans="1:44" ht="30" customHeight="1" x14ac:dyDescent="0.25">
      <c r="A7" s="11"/>
      <c r="B7" s="190"/>
      <c r="C7" s="178"/>
      <c r="D7" s="12"/>
      <c r="E7" s="12"/>
      <c r="F7" s="12"/>
      <c r="G7" s="12"/>
      <c r="H7" s="14"/>
      <c r="I7" s="14"/>
      <c r="J7" s="43" t="s">
        <v>9</v>
      </c>
      <c r="K7" s="68">
        <f>IF($K$5=0,0,$E$5/$K$5)</f>
        <v>0</v>
      </c>
      <c r="L7" s="1"/>
      <c r="M7" s="1"/>
      <c r="N7"/>
      <c r="O7" s="159"/>
      <c r="P7" s="1"/>
      <c r="Q7" s="1"/>
      <c r="R7" s="1"/>
      <c r="AQ7" s="450"/>
      <c r="AR7" s="450"/>
    </row>
    <row r="8" spans="1:44" s="158" customFormat="1" ht="30" customHeight="1" x14ac:dyDescent="0.25">
      <c r="A8" s="25"/>
      <c r="B8" s="191"/>
      <c r="C8" s="519" t="s">
        <v>10</v>
      </c>
      <c r="D8" s="520"/>
      <c r="E8" s="58"/>
      <c r="F8" s="46">
        <f>IF(E8="Yes",60%,49%)</f>
        <v>0.49</v>
      </c>
      <c r="I8" s="38"/>
      <c r="L8" s="2"/>
      <c r="M8" s="2"/>
      <c r="N8"/>
      <c r="O8" s="2"/>
      <c r="P8" s="2"/>
      <c r="Q8" s="39"/>
      <c r="R8" s="39"/>
      <c r="S8" s="453"/>
      <c r="T8" s="455"/>
      <c r="U8" s="453"/>
      <c r="V8" s="453"/>
      <c r="W8" s="453"/>
      <c r="X8" s="453"/>
      <c r="Y8" s="453"/>
      <c r="Z8" s="453"/>
      <c r="AA8" s="453"/>
      <c r="AB8" s="453"/>
      <c r="AC8" s="453"/>
      <c r="AD8" s="453"/>
      <c r="AE8" s="453"/>
      <c r="AF8" s="453"/>
      <c r="AG8" s="453"/>
      <c r="AH8" s="453"/>
      <c r="AI8" s="453"/>
      <c r="AJ8" s="453"/>
      <c r="AK8" s="453"/>
    </row>
    <row r="9" spans="1:44" hidden="1" x14ac:dyDescent="0.25">
      <c r="A9" s="11"/>
      <c r="B9" s="177"/>
      <c r="C9" s="178"/>
      <c r="D9" s="12"/>
      <c r="E9" s="12"/>
      <c r="F9" s="13"/>
      <c r="G9" s="1"/>
      <c r="H9" s="14"/>
      <c r="I9" s="14"/>
      <c r="J9" s="14"/>
      <c r="K9" s="14"/>
      <c r="L9" s="1"/>
      <c r="M9" s="1"/>
      <c r="N9"/>
      <c r="O9" s="1"/>
      <c r="P9" s="1"/>
      <c r="Q9" s="1"/>
      <c r="R9" s="1"/>
      <c r="AQ9" s="450"/>
      <c r="AR9" s="450"/>
    </row>
    <row r="10" spans="1:44" s="158" customFormat="1" ht="30" customHeight="1" x14ac:dyDescent="0.25">
      <c r="A10" s="25"/>
      <c r="B10" s="21"/>
      <c r="C10" s="512" t="s">
        <v>12</v>
      </c>
      <c r="D10" s="513"/>
      <c r="E10" s="115"/>
      <c r="F10" s="1"/>
      <c r="H10" s="22"/>
      <c r="I10" s="524" t="s">
        <v>13</v>
      </c>
      <c r="J10" s="525"/>
      <c r="K10" s="269" t="str">
        <f>IF(OR(A58=22,N(E$5)=0,K$7=0),"",IF(AND(OR(A58&lt;4,A58&gt;18),K7&gt;=750000),"Yes",IF(AND(AND(A58&gt;5,A58&lt;11),K7&gt;=400000),"Yes",IF(AND(AND(A58&gt;10,A58&lt;19),K7&gt;=800000),"Yes","No"))))</f>
        <v/>
      </c>
      <c r="L10" s="270" t="str">
        <f>IFERROR(IF(K10="Yes","N/A to animated productions",""),"")</f>
        <v/>
      </c>
      <c r="M10" s="2"/>
      <c r="N10"/>
      <c r="O10" s="2"/>
      <c r="P10" s="2"/>
      <c r="Q10" s="39"/>
      <c r="R10" s="39"/>
      <c r="S10" s="453"/>
      <c r="T10" s="455"/>
      <c r="U10" s="453"/>
      <c r="V10" s="453"/>
      <c r="W10" s="453"/>
      <c r="X10" s="453"/>
      <c r="Y10" s="453"/>
      <c r="Z10" s="453"/>
      <c r="AA10" s="453"/>
      <c r="AB10" s="453"/>
      <c r="AC10" s="453"/>
      <c r="AD10" s="453"/>
      <c r="AE10" s="453"/>
      <c r="AF10" s="453"/>
      <c r="AG10" s="453"/>
      <c r="AH10" s="453"/>
      <c r="AI10" s="453"/>
      <c r="AJ10" s="453"/>
      <c r="AK10" s="453"/>
    </row>
    <row r="11" spans="1:44" s="158" customFormat="1" ht="30" customHeight="1" x14ac:dyDescent="0.25">
      <c r="A11" s="25"/>
      <c r="B11" s="21"/>
      <c r="C11" s="36"/>
      <c r="D11" s="36"/>
      <c r="E11" s="58"/>
      <c r="F11" s="36"/>
      <c r="H11" s="36"/>
      <c r="I11" s="524" t="s">
        <v>14</v>
      </c>
      <c r="J11" s="525"/>
      <c r="K11" s="60" t="str">
        <f>IF(N(E$5)=0,"",IF(E$5&gt;500000,"Yes","No"))</f>
        <v/>
      </c>
      <c r="L11" s="270" t="str">
        <f>IFERROR(IF(K11="Yes","N/A to live-to-air productions",""),"")</f>
        <v/>
      </c>
      <c r="M11" s="2"/>
      <c r="N11"/>
      <c r="O11" s="2"/>
      <c r="P11" s="2"/>
      <c r="Q11" s="39"/>
      <c r="R11" s="39"/>
      <c r="S11" s="453"/>
      <c r="T11" s="455"/>
      <c r="U11" s="453"/>
      <c r="V11" s="453"/>
      <c r="W11" s="453"/>
      <c r="X11" s="453"/>
      <c r="Y11" s="453"/>
      <c r="Z11" s="453"/>
      <c r="AA11" s="453"/>
      <c r="AB11" s="453"/>
      <c r="AC11" s="453"/>
      <c r="AD11" s="453"/>
      <c r="AE11" s="453"/>
      <c r="AF11" s="453"/>
      <c r="AG11" s="453"/>
      <c r="AH11" s="453"/>
      <c r="AI11" s="453"/>
      <c r="AJ11" s="453"/>
      <c r="AK11" s="453"/>
    </row>
    <row r="12" spans="1:44" ht="17.100000000000001" customHeight="1" x14ac:dyDescent="0.25">
      <c r="A12" s="179"/>
      <c r="B12" s="23"/>
      <c r="C12" s="23"/>
      <c r="D12" s="23"/>
      <c r="E12" s="23"/>
      <c r="F12" s="23"/>
      <c r="G12" s="1"/>
      <c r="H12" s="23"/>
      <c r="I12" s="1"/>
      <c r="J12" s="23"/>
      <c r="K12" s="23"/>
      <c r="L12" s="1"/>
      <c r="M12" s="1"/>
      <c r="N12"/>
      <c r="O12" s="1"/>
      <c r="P12" s="1"/>
      <c r="Q12" s="1"/>
      <c r="R12" s="1"/>
      <c r="AM12" s="450"/>
      <c r="AN12" s="450"/>
      <c r="AO12" s="450"/>
      <c r="AP12" s="450"/>
      <c r="AQ12" s="450"/>
      <c r="AR12" s="450"/>
    </row>
    <row r="13" spans="1:44" ht="30" customHeight="1" x14ac:dyDescent="0.25">
      <c r="A13" s="524" t="s">
        <v>15</v>
      </c>
      <c r="B13" s="525"/>
      <c r="C13" s="180"/>
      <c r="D13" s="180"/>
      <c r="E13" s="180"/>
      <c r="F13" s="38"/>
      <c r="G13" s="23"/>
      <c r="H13" s="1"/>
      <c r="I13" s="1"/>
      <c r="J13"/>
      <c r="K13" s="1"/>
      <c r="L13" s="1"/>
      <c r="M13" s="23"/>
      <c r="N13"/>
      <c r="O13" s="1"/>
      <c r="P13" s="1"/>
      <c r="Q13" s="1"/>
      <c r="R13" s="1"/>
      <c r="AQ13" s="450"/>
      <c r="AR13" s="450"/>
    </row>
    <row r="14" spans="1:44" ht="18.600000000000001" customHeight="1" x14ac:dyDescent="0.25">
      <c r="B14" s="177"/>
      <c r="C14" s="178"/>
      <c r="D14" s="12"/>
      <c r="E14" s="12"/>
      <c r="F14" s="12"/>
      <c r="G14" s="13"/>
      <c r="H14" s="14"/>
      <c r="I14" s="14"/>
      <c r="J14" s="14"/>
      <c r="K14" s="14"/>
      <c r="L14" s="1"/>
      <c r="M14" s="1"/>
      <c r="N14"/>
      <c r="O14" s="1"/>
      <c r="P14" s="1"/>
      <c r="Q14" s="1"/>
      <c r="R14" s="1"/>
      <c r="AQ14" s="450"/>
      <c r="AR14" s="450"/>
    </row>
    <row r="15" spans="1:44" x14ac:dyDescent="0.25">
      <c r="A15" s="187" t="s">
        <v>16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/>
      <c r="O15" s="1"/>
      <c r="P15" s="1"/>
      <c r="Q15" s="1"/>
      <c r="R15" s="1"/>
      <c r="AQ15" s="450"/>
      <c r="AR15" s="450"/>
    </row>
    <row r="16" spans="1:44" ht="18.600000000000001" customHeight="1" x14ac:dyDescent="0.25">
      <c r="A16" s="185" t="s">
        <v>17</v>
      </c>
      <c r="B16" s="5"/>
      <c r="C16" s="40"/>
      <c r="D16" s="53"/>
      <c r="E16" s="181"/>
      <c r="F16" s="5"/>
      <c r="G16" s="1"/>
      <c r="H16" s="13"/>
      <c r="I16" s="160"/>
      <c r="J16" s="161"/>
      <c r="K16" s="162" t="s">
        <v>18</v>
      </c>
      <c r="L16" s="161"/>
      <c r="M16" s="219"/>
      <c r="N16"/>
      <c r="O16"/>
      <c r="P16" s="1"/>
      <c r="Q16" s="1"/>
      <c r="R16" s="1"/>
      <c r="AQ16" s="450"/>
      <c r="AR16" s="450"/>
    </row>
    <row r="17" spans="1:43" s="450" customFormat="1" ht="72" customHeight="1" x14ac:dyDescent="0.25">
      <c r="A17" s="546" t="s">
        <v>19</v>
      </c>
      <c r="B17" s="547"/>
      <c r="C17" s="47" t="s">
        <v>20</v>
      </c>
      <c r="D17" s="47" t="s">
        <v>21</v>
      </c>
      <c r="E17" s="66" t="s">
        <v>22</v>
      </c>
      <c r="F17" s="67" t="s">
        <v>23</v>
      </c>
      <c r="G17" s="67" t="s">
        <v>24</v>
      </c>
      <c r="H17" s="67" t="s">
        <v>25</v>
      </c>
      <c r="I17" s="51" t="s">
        <v>26</v>
      </c>
      <c r="J17" s="51" t="s">
        <v>27</v>
      </c>
      <c r="K17" s="51" t="s">
        <v>28</v>
      </c>
      <c r="L17" s="51" t="s">
        <v>29</v>
      </c>
      <c r="M17" s="51" t="s">
        <v>30</v>
      </c>
      <c r="N17"/>
      <c r="O17" s="23"/>
      <c r="P17" s="2"/>
      <c r="Q17" s="2"/>
      <c r="R17" s="2"/>
      <c r="S17" s="453"/>
      <c r="T17" s="453"/>
      <c r="U17" s="453"/>
      <c r="V17" s="453"/>
      <c r="W17" s="453"/>
      <c r="X17" s="453"/>
      <c r="Y17" s="453"/>
      <c r="Z17" s="453"/>
      <c r="AA17" s="453"/>
      <c r="AB17" s="453"/>
      <c r="AC17" s="453"/>
      <c r="AD17" s="453"/>
      <c r="AE17" s="453"/>
      <c r="AF17" s="453"/>
      <c r="AG17" s="453"/>
      <c r="AH17" s="453"/>
      <c r="AI17" s="453"/>
      <c r="AJ17" s="453"/>
      <c r="AK17" s="453"/>
      <c r="AL17" s="453"/>
      <c r="AM17" s="453"/>
      <c r="AN17" s="453"/>
    </row>
    <row r="18" spans="1:43" ht="24.9" customHeight="1" x14ac:dyDescent="0.25">
      <c r="A18" s="49" t="s">
        <v>31</v>
      </c>
      <c r="B18" s="61"/>
      <c r="C18" s="361">
        <f t="shared" ref="C18:C23" si="0">IF($C$24&gt;0,$E18/$E$24*$C$24,0)</f>
        <v>0</v>
      </c>
      <c r="D18" s="361">
        <f t="shared" ref="D18:D23" si="1">IF($D$24&gt;0,E18/$E$24*$D$24,0)</f>
        <v>0</v>
      </c>
      <c r="E18" s="154"/>
      <c r="F18" s="154"/>
      <c r="G18" s="153"/>
      <c r="H18" s="153"/>
      <c r="I18" s="262"/>
      <c r="J18" s="466">
        <f t="shared" ref="J18:J23" si="2">DATE(YEAR(I18),(MONTH(I18)+K18),DAY(I18))</f>
        <v>0</v>
      </c>
      <c r="K18" s="62"/>
      <c r="L18" s="62"/>
      <c r="M18" s="62"/>
      <c r="N18"/>
      <c r="O18" s="1"/>
      <c r="P18" s="1"/>
      <c r="Q18" s="1"/>
      <c r="R18" s="1"/>
      <c r="AO18" s="450"/>
      <c r="AP18" s="450"/>
      <c r="AQ18" s="450"/>
    </row>
    <row r="19" spans="1:43" ht="24.9" customHeight="1" x14ac:dyDescent="0.25">
      <c r="A19" s="50" t="s">
        <v>32</v>
      </c>
      <c r="B19" s="61"/>
      <c r="C19" s="361">
        <f t="shared" si="0"/>
        <v>0</v>
      </c>
      <c r="D19" s="361">
        <f t="shared" si="1"/>
        <v>0</v>
      </c>
      <c r="E19" s="154"/>
      <c r="F19" s="220"/>
      <c r="G19" s="220"/>
      <c r="H19" s="220"/>
      <c r="I19" s="262"/>
      <c r="J19" s="466">
        <f t="shared" si="2"/>
        <v>0</v>
      </c>
      <c r="K19" s="62"/>
      <c r="L19" s="62"/>
      <c r="M19" s="62"/>
      <c r="N19"/>
      <c r="O19" s="1"/>
      <c r="P19" s="1"/>
      <c r="Q19" s="1"/>
      <c r="R19" s="1"/>
      <c r="AO19" s="450"/>
      <c r="AP19" s="450"/>
      <c r="AQ19" s="450"/>
    </row>
    <row r="20" spans="1:43" ht="24.9" customHeight="1" x14ac:dyDescent="0.25">
      <c r="A20" s="50" t="s">
        <v>33</v>
      </c>
      <c r="B20" s="61"/>
      <c r="C20" s="361">
        <f t="shared" si="0"/>
        <v>0</v>
      </c>
      <c r="D20" s="361">
        <f t="shared" si="1"/>
        <v>0</v>
      </c>
      <c r="E20" s="154"/>
      <c r="F20" s="220"/>
      <c r="G20" s="220"/>
      <c r="H20" s="220"/>
      <c r="I20" s="262"/>
      <c r="J20" s="466">
        <f t="shared" si="2"/>
        <v>0</v>
      </c>
      <c r="K20" s="62"/>
      <c r="L20" s="62"/>
      <c r="M20" s="62"/>
      <c r="N20"/>
      <c r="O20" s="1"/>
      <c r="P20" s="1"/>
      <c r="Q20" s="1"/>
      <c r="R20" s="1"/>
      <c r="AO20" s="450"/>
      <c r="AP20" s="450"/>
      <c r="AQ20" s="450"/>
    </row>
    <row r="21" spans="1:43" ht="24.9" customHeight="1" x14ac:dyDescent="0.25">
      <c r="A21" s="50" t="s">
        <v>34</v>
      </c>
      <c r="B21" s="61"/>
      <c r="C21" s="361">
        <f t="shared" si="0"/>
        <v>0</v>
      </c>
      <c r="D21" s="361">
        <f t="shared" si="1"/>
        <v>0</v>
      </c>
      <c r="E21" s="155"/>
      <c r="F21" s="220"/>
      <c r="G21" s="220"/>
      <c r="H21" s="220"/>
      <c r="I21" s="263"/>
      <c r="J21" s="466">
        <f t="shared" si="2"/>
        <v>0</v>
      </c>
      <c r="K21" s="62"/>
      <c r="L21" s="62"/>
      <c r="M21" s="62"/>
      <c r="N21"/>
      <c r="O21" s="1"/>
      <c r="P21" s="1"/>
      <c r="Q21" s="1"/>
      <c r="R21" s="1"/>
      <c r="AO21" s="450"/>
      <c r="AP21" s="450"/>
      <c r="AQ21" s="450"/>
    </row>
    <row r="22" spans="1:43" ht="24.9" customHeight="1" x14ac:dyDescent="0.25">
      <c r="A22" s="50" t="s">
        <v>35</v>
      </c>
      <c r="B22" s="61"/>
      <c r="C22" s="361">
        <f t="shared" si="0"/>
        <v>0</v>
      </c>
      <c r="D22" s="361">
        <f t="shared" si="1"/>
        <v>0</v>
      </c>
      <c r="E22" s="155"/>
      <c r="F22" s="220"/>
      <c r="G22" s="220"/>
      <c r="H22" s="220"/>
      <c r="I22" s="263"/>
      <c r="J22" s="466">
        <f t="shared" si="2"/>
        <v>0</v>
      </c>
      <c r="K22" s="62"/>
      <c r="L22" s="62"/>
      <c r="M22" s="63"/>
      <c r="N22"/>
      <c r="O22" s="1"/>
      <c r="P22" s="1"/>
      <c r="Q22" s="1"/>
      <c r="R22" s="1"/>
      <c r="AO22" s="450"/>
      <c r="AP22" s="450"/>
      <c r="AQ22" s="450"/>
    </row>
    <row r="23" spans="1:43" ht="24.9" customHeight="1" thickBot="1" x14ac:dyDescent="0.3">
      <c r="A23" s="50" t="s">
        <v>36</v>
      </c>
      <c r="B23" s="61"/>
      <c r="C23" s="362">
        <f t="shared" si="0"/>
        <v>0</v>
      </c>
      <c r="D23" s="362">
        <f t="shared" si="1"/>
        <v>0</v>
      </c>
      <c r="E23" s="156"/>
      <c r="F23" s="220"/>
      <c r="G23" s="220"/>
      <c r="H23" s="220"/>
      <c r="I23" s="263"/>
      <c r="J23" s="466">
        <f t="shared" si="2"/>
        <v>0</v>
      </c>
      <c r="K23" s="62"/>
      <c r="L23" s="62"/>
      <c r="M23" s="63"/>
      <c r="N23"/>
      <c r="O23" s="1"/>
      <c r="P23" s="1"/>
      <c r="Q23" s="1"/>
      <c r="R23" s="1"/>
      <c r="AO23" s="450"/>
      <c r="AP23" s="450"/>
      <c r="AQ23" s="450"/>
    </row>
    <row r="24" spans="1:43" ht="18" customHeight="1" thickBot="1" x14ac:dyDescent="0.3">
      <c r="A24" s="64"/>
      <c r="B24" s="65" t="s">
        <v>37</v>
      </c>
      <c r="C24" s="363">
        <f>IF(E24-(E5*0.2)&lt;$A$59,E24,IF((E$5*0.2)&lt;E24,E$5*0.2,E24))</f>
        <v>0</v>
      </c>
      <c r="D24" s="364">
        <f>E24-C24</f>
        <v>0</v>
      </c>
      <c r="E24" s="366">
        <f>SUM(E18:E23)</f>
        <v>0</v>
      </c>
      <c r="F24" s="366">
        <f>SUM(F18:F23)</f>
        <v>0</v>
      </c>
      <c r="G24" s="366">
        <f>SUM(G18:G23)</f>
        <v>0</v>
      </c>
      <c r="H24" s="366">
        <f>SUM(H18:H23)</f>
        <v>0</v>
      </c>
      <c r="I24" s="163"/>
      <c r="J24" s="163"/>
      <c r="K24" s="163"/>
      <c r="L24" s="163"/>
      <c r="M24" s="1"/>
      <c r="N24"/>
      <c r="O24" s="1"/>
      <c r="P24" s="1"/>
      <c r="Q24" s="1"/>
      <c r="R24" s="1"/>
      <c r="AO24" s="450"/>
      <c r="AP24" s="450"/>
      <c r="AQ24" s="450"/>
    </row>
    <row r="25" spans="1:43" s="450" customFormat="1" ht="22.5" customHeight="1" thickBot="1" x14ac:dyDescent="0.3">
      <c r="A25" s="23"/>
      <c r="B25" s="23"/>
      <c r="C25" s="535" t="str">
        <f>IF($E$10="No","N/A",IF($I$58=2,I76,IF($I$58=4,I78,IF($I$58=3,I77,"Incentive program"))))</f>
        <v>Incentive program</v>
      </c>
      <c r="D25" s="536"/>
      <c r="E25" s="365">
        <f>IF(E10="Yes",E11,0)</f>
        <v>0</v>
      </c>
      <c r="F25" s="48"/>
      <c r="G25" s="48"/>
      <c r="H25" s="251"/>
      <c r="I25" s="48"/>
      <c r="J25" s="23"/>
      <c r="K25" s="48"/>
      <c r="L25" s="7"/>
      <c r="M25" s="1"/>
      <c r="N25"/>
      <c r="O25" s="1"/>
      <c r="P25" s="1"/>
      <c r="Q25" s="1"/>
      <c r="R25" s="1"/>
      <c r="S25" s="446"/>
      <c r="T25" s="446"/>
      <c r="U25" s="446"/>
      <c r="V25" s="446"/>
      <c r="W25" s="446"/>
      <c r="X25" s="446"/>
      <c r="Y25" s="446"/>
      <c r="Z25" s="446"/>
      <c r="AA25" s="446"/>
      <c r="AB25" s="446"/>
      <c r="AC25" s="446"/>
      <c r="AD25" s="446"/>
      <c r="AE25" s="446"/>
      <c r="AF25" s="446"/>
      <c r="AG25" s="446"/>
      <c r="AH25" s="446"/>
      <c r="AI25" s="446"/>
      <c r="AJ25" s="446"/>
      <c r="AK25" s="446"/>
      <c r="AL25" s="446"/>
      <c r="AM25" s="446"/>
      <c r="AN25" s="446"/>
      <c r="AO25" s="446"/>
      <c r="AP25" s="446"/>
    </row>
    <row r="26" spans="1:43" ht="17.100000000000001" customHeight="1" x14ac:dyDescent="0.25">
      <c r="A26" s="26"/>
      <c r="B26" s="16"/>
      <c r="C26" s="17"/>
      <c r="D26" s="17"/>
      <c r="E26" s="17"/>
      <c r="F26" s="17"/>
      <c r="G26" s="18"/>
      <c r="H26" s="18"/>
      <c r="I26" s="19"/>
      <c r="J26" s="3"/>
      <c r="K26" s="3"/>
      <c r="L26" s="3"/>
      <c r="M26" s="1"/>
      <c r="N26"/>
      <c r="O26" s="1"/>
      <c r="P26" s="1"/>
      <c r="Q26" s="1"/>
      <c r="R26" s="1"/>
      <c r="AP26" s="450"/>
      <c r="AQ26" s="450"/>
    </row>
    <row r="27" spans="1:43" ht="21.75" customHeight="1" x14ac:dyDescent="0.25">
      <c r="A27" s="533" t="s">
        <v>38</v>
      </c>
      <c r="B27" s="538"/>
      <c r="C27" s="539"/>
      <c r="D27" s="539"/>
      <c r="E27" s="539"/>
      <c r="F27" s="539"/>
      <c r="G27" s="539"/>
      <c r="H27" s="539"/>
      <c r="I27" s="539"/>
      <c r="J27" s="539"/>
      <c r="K27" s="539"/>
      <c r="L27" s="540"/>
      <c r="M27" s="541"/>
      <c r="N27"/>
      <c r="O27" s="1"/>
      <c r="P27" s="1"/>
      <c r="Q27" s="1"/>
      <c r="R27" s="1"/>
      <c r="AM27" s="450"/>
      <c r="AN27" s="450"/>
      <c r="AO27" s="450"/>
      <c r="AP27" s="450"/>
      <c r="AQ27" s="450"/>
    </row>
    <row r="28" spans="1:43" ht="21.75" customHeight="1" x14ac:dyDescent="0.25">
      <c r="A28" s="534"/>
      <c r="B28" s="542"/>
      <c r="C28" s="543"/>
      <c r="D28" s="543"/>
      <c r="E28" s="543"/>
      <c r="F28" s="543"/>
      <c r="G28" s="543"/>
      <c r="H28" s="543"/>
      <c r="I28" s="543"/>
      <c r="J28" s="543"/>
      <c r="K28" s="543"/>
      <c r="L28" s="544"/>
      <c r="M28" s="545"/>
      <c r="N28"/>
      <c r="O28" s="1"/>
      <c r="P28" s="1"/>
      <c r="Q28" s="1"/>
      <c r="R28" s="1"/>
      <c r="AM28" s="450"/>
      <c r="AN28" s="450"/>
      <c r="AO28" s="450"/>
      <c r="AP28" s="450"/>
      <c r="AQ28" s="450"/>
    </row>
    <row r="29" spans="1:43" ht="17.100000000000001" customHeight="1" collapsed="1" x14ac:dyDescent="0.25">
      <c r="A29" s="6"/>
      <c r="B29" s="7"/>
      <c r="C29" s="7"/>
      <c r="D29" s="7"/>
      <c r="E29" s="7"/>
      <c r="F29" s="7"/>
      <c r="G29" s="7"/>
      <c r="H29" s="7"/>
      <c r="I29" s="7"/>
      <c r="J29" s="39"/>
      <c r="K29" s="1"/>
      <c r="L29" s="1"/>
      <c r="M29" s="1"/>
      <c r="N29"/>
      <c r="O29" s="1"/>
      <c r="P29" s="1"/>
      <c r="Q29" s="1"/>
      <c r="R29" s="1"/>
      <c r="AM29" s="450"/>
      <c r="AN29" s="450"/>
      <c r="AO29" s="450"/>
      <c r="AP29" s="450"/>
      <c r="AQ29" s="450"/>
    </row>
    <row r="30" spans="1:43" s="452" customFormat="1" ht="30" customHeight="1" x14ac:dyDescent="0.25">
      <c r="A30" s="526" t="s">
        <v>39</v>
      </c>
      <c r="B30" s="526"/>
      <c r="C30" s="526"/>
      <c r="D30" s="526"/>
      <c r="E30" s="526"/>
      <c r="F30" s="526"/>
      <c r="G30" s="526"/>
      <c r="H30" s="548" t="s">
        <v>40</v>
      </c>
      <c r="I30" s="549"/>
      <c r="J30" s="506"/>
      <c r="K30" s="250"/>
      <c r="L30"/>
      <c r="M30"/>
      <c r="N30"/>
      <c r="O30" s="1"/>
      <c r="P30" s="1"/>
      <c r="Q30" s="1"/>
      <c r="R30"/>
      <c r="S30" s="448"/>
      <c r="T30" s="448"/>
      <c r="U30" s="448"/>
      <c r="V30" s="448"/>
      <c r="W30" s="448"/>
      <c r="X30" s="448"/>
      <c r="Y30" s="446"/>
      <c r="Z30" s="446"/>
      <c r="AA30" s="446"/>
      <c r="AB30" s="446"/>
      <c r="AC30" s="446"/>
      <c r="AD30" s="446"/>
      <c r="AE30" s="446"/>
      <c r="AF30" s="446"/>
      <c r="AG30" s="446"/>
      <c r="AH30" s="446"/>
      <c r="AI30" s="446"/>
      <c r="AJ30" s="446"/>
      <c r="AK30" s="446"/>
      <c r="AL30" s="446"/>
      <c r="AM30" s="446"/>
      <c r="AN30" s="446"/>
      <c r="AO30" s="446"/>
      <c r="AP30" s="446"/>
      <c r="AQ30" s="451"/>
    </row>
    <row r="31" spans="1:43" ht="64.95" customHeight="1" x14ac:dyDescent="0.25">
      <c r="A31" s="546" t="s">
        <v>41</v>
      </c>
      <c r="B31" s="547"/>
      <c r="C31" s="51" t="s">
        <v>42</v>
      </c>
      <c r="D31" s="51" t="s">
        <v>43</v>
      </c>
      <c r="E31" s="52" t="s">
        <v>44</v>
      </c>
      <c r="F31" s="221" t="s">
        <v>45</v>
      </c>
      <c r="G31" s="67" t="s">
        <v>46</v>
      </c>
      <c r="H31" s="67" t="s">
        <v>47</v>
      </c>
      <c r="I31" s="67" t="s">
        <v>48</v>
      </c>
      <c r="J31" s="496" t="s">
        <v>49</v>
      </c>
      <c r="K31" s="222" t="s">
        <v>50</v>
      </c>
      <c r="L31" s="496" t="s">
        <v>51</v>
      </c>
      <c r="N31"/>
      <c r="O31" s="47" t="s">
        <v>52</v>
      </c>
      <c r="P31" s="47" t="s">
        <v>53</v>
      </c>
      <c r="Q31" s="47" t="s">
        <v>54</v>
      </c>
      <c r="R31"/>
      <c r="S31" s="448"/>
      <c r="T31" s="448"/>
      <c r="U31" s="448"/>
      <c r="V31" s="448"/>
      <c r="W31" s="448"/>
      <c r="X31" s="448"/>
      <c r="AQ31" s="446"/>
    </row>
    <row r="32" spans="1:43" ht="15" customHeight="1" x14ac:dyDescent="0.25">
      <c r="A32" s="50" t="s">
        <v>31</v>
      </c>
      <c r="B32" s="367">
        <f>$B$18</f>
        <v>0</v>
      </c>
      <c r="C32" s="368">
        <f t="shared" ref="C32:C37" si="3">IF($C$38&gt;0,ROUND(E32/$E$38*$C$38,0),0)</f>
        <v>0</v>
      </c>
      <c r="D32" s="368">
        <f t="shared" ref="D32:D37" si="4">IF($D$38&gt;0,E32/$E$38*$D$38,0)</f>
        <v>0</v>
      </c>
      <c r="E32" s="369">
        <f t="shared" ref="E32:E37" si="5">IF($E$38=0,0,ROUND(+E18/E$24*E$38,0))</f>
        <v>0</v>
      </c>
      <c r="F32" s="370" t="str">
        <f t="shared" ref="F32:F37" si="6">IF($E$5=0,"",(C32+D32)/$E$5)</f>
        <v/>
      </c>
      <c r="G32" s="368">
        <f>$H$44</f>
        <v>0</v>
      </c>
      <c r="H32" s="371" t="s">
        <v>55</v>
      </c>
      <c r="I32" s="371" t="s">
        <v>55</v>
      </c>
      <c r="J32" s="372" t="str">
        <f>IF($E$5=0,"",(G32+N(H32)+N(I32))/E$5)</f>
        <v/>
      </c>
      <c r="K32" s="373"/>
      <c r="L32" s="368">
        <f>MAX(F18+G18+H18-G32-N(H32)-N(I32),0)</f>
        <v>0</v>
      </c>
      <c r="N32"/>
      <c r="O32" s="209">
        <f>IF(K18&lt;84,K18,84)</f>
        <v>0</v>
      </c>
      <c r="P32" s="210"/>
      <c r="Q32" s="211" t="s">
        <v>55</v>
      </c>
      <c r="R32"/>
      <c r="S32" s="448"/>
      <c r="T32" s="448"/>
      <c r="U32" s="448"/>
      <c r="V32" s="448"/>
      <c r="W32" s="448"/>
      <c r="X32" s="448"/>
      <c r="AQ32" s="446"/>
    </row>
    <row r="33" spans="1:43" ht="15" customHeight="1" x14ac:dyDescent="0.25">
      <c r="A33" s="50" t="s">
        <v>32</v>
      </c>
      <c r="B33" s="367">
        <f>$B$19</f>
        <v>0</v>
      </c>
      <c r="C33" s="368">
        <f t="shared" si="3"/>
        <v>0</v>
      </c>
      <c r="D33" s="368">
        <f t="shared" si="4"/>
        <v>0</v>
      </c>
      <c r="E33" s="369">
        <f t="shared" si="5"/>
        <v>0</v>
      </c>
      <c r="F33" s="370" t="str">
        <f t="shared" si="6"/>
        <v/>
      </c>
      <c r="G33" s="368">
        <f>$H$46</f>
        <v>0</v>
      </c>
      <c r="H33" s="368" t="str">
        <f t="shared" ref="H33:H37" si="7">IF($G$24=0,"",ROUND((G19*H$38/G$24),0))</f>
        <v/>
      </c>
      <c r="I33" s="368" t="str">
        <f>IF($I$38&gt;0,MIN(H19,(H19/$H$24)*I$38),"")</f>
        <v/>
      </c>
      <c r="J33" s="372" t="str">
        <f t="shared" ref="J33:J37" si="8">IF($E$5=0,"",(G33+N(H33)+N(I33))/E$5)</f>
        <v/>
      </c>
      <c r="K33" s="374"/>
      <c r="L33" s="368">
        <f t="shared" ref="L33:L37" si="9">MAX(F19+G19+H19-G33-N(H33)-N(I33),0)</f>
        <v>0</v>
      </c>
      <c r="N33"/>
      <c r="O33" s="209">
        <f>IF(K19&lt;84,K19,84)</f>
        <v>0</v>
      </c>
      <c r="P33" s="210"/>
      <c r="Q33" s="212">
        <f>IF(I19&gt;DATE(YEAR(I$18),MONTH(I$18)+P32,DAY(I$18)),I19,DATE(YEAR(I$18),MONTH(I$18)+P32,DAY(I$18)))</f>
        <v>0</v>
      </c>
      <c r="R33"/>
      <c r="S33" s="448"/>
      <c r="T33" s="448"/>
      <c r="U33" s="448"/>
      <c r="V33" s="448"/>
      <c r="W33" s="448"/>
      <c r="X33" s="448"/>
      <c r="AQ33" s="446"/>
    </row>
    <row r="34" spans="1:43" ht="15" customHeight="1" x14ac:dyDescent="0.25">
      <c r="A34" s="50" t="s">
        <v>33</v>
      </c>
      <c r="B34" s="367">
        <f>$B$20</f>
        <v>0</v>
      </c>
      <c r="C34" s="368">
        <f t="shared" si="3"/>
        <v>0</v>
      </c>
      <c r="D34" s="368">
        <f t="shared" si="4"/>
        <v>0</v>
      </c>
      <c r="E34" s="369">
        <f t="shared" si="5"/>
        <v>0</v>
      </c>
      <c r="F34" s="370" t="str">
        <f t="shared" si="6"/>
        <v/>
      </c>
      <c r="G34" s="368">
        <f>$H$48</f>
        <v>0</v>
      </c>
      <c r="H34" s="368" t="str">
        <f t="shared" si="7"/>
        <v/>
      </c>
      <c r="I34" s="368" t="str">
        <f>IF($I$38&gt;0,MIN(H20,(H20/$H$24)*I$38),"")</f>
        <v/>
      </c>
      <c r="J34" s="372" t="str">
        <f t="shared" si="8"/>
        <v/>
      </c>
      <c r="K34" s="374"/>
      <c r="L34" s="368">
        <f t="shared" si="9"/>
        <v>0</v>
      </c>
      <c r="N34"/>
      <c r="O34" s="209">
        <f t="shared" ref="O34:O37" si="10">IF(K20&lt;84,K20,84)</f>
        <v>0</v>
      </c>
      <c r="P34" s="210"/>
      <c r="Q34" s="212">
        <f>IF(I20&gt;DATE(YEAR(I$18),MONTH(I$18)+P32+P33,DAY(I$18)),I20,DATE(YEAR(I$18),MONTH(I$18)+P32+P$33,DAY(I$18)))</f>
        <v>0</v>
      </c>
      <c r="R34"/>
      <c r="S34" s="448"/>
      <c r="T34" s="448"/>
      <c r="U34" s="448"/>
      <c r="V34" s="448"/>
      <c r="W34" s="448"/>
      <c r="X34" s="448"/>
      <c r="AQ34" s="446"/>
    </row>
    <row r="35" spans="1:43" ht="15" customHeight="1" x14ac:dyDescent="0.25">
      <c r="A35" s="50" t="s">
        <v>34</v>
      </c>
      <c r="B35" s="367">
        <f>$B$21</f>
        <v>0</v>
      </c>
      <c r="C35" s="368">
        <f t="shared" si="3"/>
        <v>0</v>
      </c>
      <c r="D35" s="368">
        <f t="shared" si="4"/>
        <v>0</v>
      </c>
      <c r="E35" s="369">
        <f t="shared" si="5"/>
        <v>0</v>
      </c>
      <c r="F35" s="370" t="str">
        <f t="shared" si="6"/>
        <v/>
      </c>
      <c r="G35" s="368">
        <f>$H$50</f>
        <v>0</v>
      </c>
      <c r="H35" s="368" t="str">
        <f t="shared" si="7"/>
        <v/>
      </c>
      <c r="I35" s="368" t="str">
        <f>IF($I$38&gt;0,MIN(H21,(H21/$H$24)*I$38),"")</f>
        <v/>
      </c>
      <c r="J35" s="372" t="str">
        <f t="shared" si="8"/>
        <v/>
      </c>
      <c r="K35" s="374"/>
      <c r="L35" s="368">
        <f t="shared" si="9"/>
        <v>0</v>
      </c>
      <c r="N35"/>
      <c r="O35" s="209">
        <f t="shared" si="10"/>
        <v>0</v>
      </c>
      <c r="P35" s="210"/>
      <c r="Q35" s="212">
        <f>IF(I21&gt;DATE(YEAR(I$18),MONTH(I$18)+P$32+P$33+P34,DAY(I$18)),I21,DATE(YEAR(I$18),MONTH(I$18)+P$32+P$33+P34,DAY(I$18)))</f>
        <v>0</v>
      </c>
      <c r="R35"/>
      <c r="S35" s="448"/>
      <c r="T35" s="448"/>
      <c r="U35" s="448"/>
      <c r="V35" s="448"/>
      <c r="W35" s="448"/>
      <c r="X35" s="448"/>
      <c r="AQ35" s="446"/>
    </row>
    <row r="36" spans="1:43" ht="15" customHeight="1" x14ac:dyDescent="0.25">
      <c r="A36" s="50" t="s">
        <v>35</v>
      </c>
      <c r="B36" s="367">
        <f>$B$22</f>
        <v>0</v>
      </c>
      <c r="C36" s="368">
        <f t="shared" si="3"/>
        <v>0</v>
      </c>
      <c r="D36" s="368">
        <f t="shared" si="4"/>
        <v>0</v>
      </c>
      <c r="E36" s="369">
        <f t="shared" si="5"/>
        <v>0</v>
      </c>
      <c r="F36" s="370" t="str">
        <f t="shared" si="6"/>
        <v/>
      </c>
      <c r="G36" s="368">
        <f>$H$52</f>
        <v>0</v>
      </c>
      <c r="H36" s="368" t="str">
        <f t="shared" si="7"/>
        <v/>
      </c>
      <c r="I36" s="368" t="str">
        <f>IF($I$38&gt;0,MIN(H22,(H22/$H$24)*I$38),"")</f>
        <v/>
      </c>
      <c r="J36" s="372" t="str">
        <f t="shared" si="8"/>
        <v/>
      </c>
      <c r="K36" s="374"/>
      <c r="L36" s="368">
        <f t="shared" si="9"/>
        <v>0</v>
      </c>
      <c r="N36"/>
      <c r="O36" s="209">
        <f t="shared" si="10"/>
        <v>0</v>
      </c>
      <c r="P36" s="210"/>
      <c r="Q36" s="212">
        <f>IF(I22&gt;DATE(YEAR(I$18),MONTH(I$18)+P$32+P$33+P34+P35,DAY(I$18)),I22,DATE(YEAR(I$18),MONTH(I$18)+P$32+P$33+P34+P35,DAY(I$18)))</f>
        <v>0</v>
      </c>
      <c r="R36"/>
      <c r="S36" s="448"/>
      <c r="T36" s="448"/>
      <c r="U36" s="448"/>
      <c r="V36" s="448"/>
      <c r="W36" s="448"/>
      <c r="X36" s="448"/>
      <c r="AQ36" s="446"/>
    </row>
    <row r="37" spans="1:43" ht="15" customHeight="1" thickBot="1" x14ac:dyDescent="0.3">
      <c r="A37" s="47" t="s">
        <v>36</v>
      </c>
      <c r="B37" s="375">
        <f>$B$23</f>
        <v>0</v>
      </c>
      <c r="C37" s="376">
        <f t="shared" si="3"/>
        <v>0</v>
      </c>
      <c r="D37" s="376">
        <f t="shared" si="4"/>
        <v>0</v>
      </c>
      <c r="E37" s="377">
        <f t="shared" si="5"/>
        <v>0</v>
      </c>
      <c r="F37" s="370" t="str">
        <f t="shared" si="6"/>
        <v/>
      </c>
      <c r="G37" s="368">
        <f>$H$54</f>
        <v>0</v>
      </c>
      <c r="H37" s="368" t="str">
        <f t="shared" si="7"/>
        <v/>
      </c>
      <c r="I37" s="368" t="str">
        <f>IF($I$38&gt;0,MIN(H23,(H23/$H$24)*I$38),"")</f>
        <v/>
      </c>
      <c r="J37" s="372" t="str">
        <f t="shared" si="8"/>
        <v/>
      </c>
      <c r="K37" s="378"/>
      <c r="L37" s="368">
        <f t="shared" si="9"/>
        <v>0</v>
      </c>
      <c r="N37"/>
      <c r="O37" s="209">
        <f t="shared" si="10"/>
        <v>0</v>
      </c>
      <c r="P37" s="210"/>
      <c r="Q37" s="212">
        <f>IF(I23&gt;DATE(YEAR(I$18),MONTH(I$18)+P$32+P$33+P34+P35+P36,DAY(I$18)),I23,DATE(YEAR(I$18),MONTH(I$18)+P$32+P$33+P34+P35+P36,DAY(I$18)))</f>
        <v>0</v>
      </c>
      <c r="R37"/>
      <c r="S37" s="448"/>
      <c r="T37" s="448"/>
      <c r="U37" s="448"/>
      <c r="V37" s="448"/>
      <c r="W37" s="448"/>
      <c r="X37" s="448"/>
      <c r="AQ37" s="446"/>
    </row>
    <row r="38" spans="1:43" s="450" customFormat="1" ht="15.6" thickBot="1" x14ac:dyDescent="0.3">
      <c r="A38" s="147"/>
      <c r="B38" s="379" t="s">
        <v>56</v>
      </c>
      <c r="C38" s="380">
        <f>IF(E38-($E$5*0.2)&lt;$A$59,E38,IF((E5*0.2)&lt;E38,ROUND(E5*0.2,0),E38))</f>
        <v>0</v>
      </c>
      <c r="D38" s="380">
        <f>E38-C38</f>
        <v>0</v>
      </c>
      <c r="E38" s="380">
        <f>IF(MAX(F$84:F$87)&lt;E24,MAX(F$84:F$87),E24)</f>
        <v>0</v>
      </c>
      <c r="F38" s="381">
        <f>SUM(F32:F37)</f>
        <v>0</v>
      </c>
      <c r="G38" s="380">
        <f>SUM(G32:G37)</f>
        <v>0</v>
      </c>
      <c r="H38" s="380">
        <f>MIN(G60:G79,G24)</f>
        <v>0</v>
      </c>
      <c r="I38" s="380">
        <f>IF($G$38=0,0,IF(H$24&lt;MAX(H60:H63),H$24,MAX(H60:H63)))</f>
        <v>0</v>
      </c>
      <c r="J38" s="382">
        <f>SUM(J32:J37)</f>
        <v>0</v>
      </c>
      <c r="K38" s="380">
        <f>G38+I38+H38</f>
        <v>0</v>
      </c>
      <c r="L38" s="502">
        <f>SUM(L32:L37)</f>
        <v>0</v>
      </c>
      <c r="N38" s="23"/>
      <c r="O38" s="1"/>
      <c r="P38" s="1"/>
      <c r="Q38" s="1"/>
      <c r="R38"/>
      <c r="S38" s="448"/>
      <c r="T38" s="448"/>
      <c r="U38" s="448"/>
      <c r="V38" s="448"/>
      <c r="W38" s="448"/>
      <c r="X38" s="448"/>
      <c r="Y38" s="446"/>
      <c r="Z38" s="446"/>
      <c r="AA38" s="446"/>
      <c r="AB38" s="446"/>
      <c r="AC38" s="446"/>
      <c r="AD38" s="446"/>
      <c r="AE38" s="446"/>
      <c r="AF38" s="446"/>
      <c r="AG38" s="446"/>
      <c r="AH38" s="446"/>
      <c r="AI38" s="446"/>
      <c r="AJ38" s="446"/>
      <c r="AK38" s="446"/>
      <c r="AL38" s="446"/>
      <c r="AM38" s="446"/>
      <c r="AN38" s="446"/>
      <c r="AO38" s="446"/>
    </row>
    <row r="39" spans="1:43" s="450" customFormat="1" ht="22.5" customHeight="1" thickBot="1" x14ac:dyDescent="0.3">
      <c r="A39" s="23"/>
      <c r="B39" s="383"/>
      <c r="C39" s="522" t="str">
        <f>C25</f>
        <v>Incentive program</v>
      </c>
      <c r="D39" s="523"/>
      <c r="E39" s="380">
        <f>IF(E10="Yes",MIN(E11,MAX(I85:I87)),0)</f>
        <v>0</v>
      </c>
      <c r="F39" s="384">
        <f>IF(AND($E$10="Yes",$E$11&gt;0),$E$39/$E$5,0)</f>
        <v>0</v>
      </c>
      <c r="G39" s="385"/>
      <c r="H39" s="385"/>
      <c r="J39" s="383"/>
      <c r="K39" s="383"/>
      <c r="L39" s="385"/>
      <c r="M39"/>
      <c r="N39"/>
      <c r="O39" s="1"/>
      <c r="P39"/>
      <c r="Q39"/>
      <c r="R39" s="1"/>
      <c r="S39" s="456"/>
      <c r="T39" s="456"/>
      <c r="U39" s="446"/>
      <c r="V39" s="446"/>
      <c r="W39" s="446"/>
      <c r="X39" s="446"/>
      <c r="Y39" s="446"/>
      <c r="Z39" s="446"/>
      <c r="AA39" s="446"/>
      <c r="AB39" s="446"/>
      <c r="AC39" s="446"/>
      <c r="AD39" s="446"/>
      <c r="AE39" s="446"/>
      <c r="AF39" s="446"/>
      <c r="AG39" s="446"/>
      <c r="AH39" s="446"/>
      <c r="AI39" s="446"/>
      <c r="AJ39" s="446"/>
      <c r="AK39" s="446"/>
      <c r="AL39" s="446"/>
      <c r="AM39" s="446"/>
      <c r="AN39" s="446"/>
      <c r="AO39" s="446"/>
      <c r="AP39" s="446"/>
    </row>
    <row r="40" spans="1:43" s="458" customFormat="1" ht="17.100000000000001" customHeight="1" x14ac:dyDescent="0.25">
      <c r="A40" s="550" t="s">
        <v>57</v>
      </c>
      <c r="B40" s="551"/>
      <c r="C40" s="551"/>
      <c r="D40" s="551"/>
      <c r="E40" s="551"/>
      <c r="F40" s="387"/>
      <c r="G40" s="387"/>
      <c r="H40" s="504" t="str">
        <f>IF(AND($A$58&lt;6,G38&gt;0,H24&gt;0,E5&gt;0),"ELF &amp; Distributor MMC / Threshold:","")</f>
        <v/>
      </c>
      <c r="I40" s="505" t="str">
        <f>IF(AND($A$58&lt;6,G38&gt;0,H24&gt;0,E5&gt;0),SUM(G38,N(H38))/SUM(N(D60),N(D61),N(D62),N(D63)),"")</f>
        <v/>
      </c>
      <c r="K40" s="344"/>
      <c r="L40" s="344"/>
      <c r="M40"/>
      <c r="N40"/>
      <c r="O40" s="188"/>
      <c r="P40"/>
      <c r="Q40"/>
      <c r="R40" s="188"/>
      <c r="S40" s="456"/>
      <c r="T40" s="456"/>
      <c r="U40" s="457"/>
      <c r="V40" s="457"/>
      <c r="W40" s="457"/>
      <c r="X40" s="457"/>
      <c r="Y40" s="457"/>
      <c r="Z40" s="457"/>
      <c r="AA40" s="457"/>
      <c r="AB40" s="457"/>
      <c r="AC40" s="457"/>
      <c r="AD40" s="457"/>
      <c r="AE40" s="457"/>
      <c r="AF40" s="457"/>
      <c r="AG40" s="457"/>
      <c r="AH40" s="457"/>
      <c r="AI40" s="457"/>
      <c r="AJ40" s="457"/>
      <c r="AK40" s="457"/>
      <c r="AL40" s="457"/>
      <c r="AM40" s="457"/>
      <c r="AN40" s="457"/>
      <c r="AO40" s="457"/>
      <c r="AP40" s="457"/>
    </row>
    <row r="41" spans="1:43" s="458" customFormat="1" ht="17.100000000000001" customHeight="1" x14ac:dyDescent="0.25">
      <c r="B41" s="258"/>
      <c r="C41" s="258"/>
      <c r="D41" s="258"/>
      <c r="E41" s="258"/>
      <c r="F41" s="258"/>
      <c r="G41" s="258"/>
      <c r="H41" s="258"/>
      <c r="I41" s="259"/>
      <c r="J41" s="259"/>
      <c r="K41" s="189"/>
      <c r="L41" s="188"/>
      <c r="M41" s="188"/>
      <c r="N41"/>
      <c r="O41" s="188"/>
      <c r="P41"/>
      <c r="Q41"/>
      <c r="R41" s="188"/>
      <c r="S41" s="456"/>
      <c r="T41" s="457"/>
      <c r="U41" s="457"/>
      <c r="V41" s="457"/>
      <c r="W41" s="457"/>
      <c r="X41" s="457"/>
      <c r="Y41" s="457"/>
      <c r="Z41" s="457"/>
      <c r="AA41" s="457"/>
      <c r="AB41" s="457"/>
      <c r="AC41" s="457"/>
      <c r="AD41" s="457"/>
      <c r="AE41" s="457"/>
      <c r="AF41" s="457"/>
      <c r="AG41" s="457"/>
      <c r="AH41" s="457"/>
      <c r="AI41" s="457"/>
      <c r="AJ41" s="457"/>
      <c r="AK41" s="457"/>
      <c r="AL41" s="457"/>
      <c r="AM41" s="457"/>
      <c r="AN41" s="457"/>
      <c r="AO41" s="457"/>
      <c r="AP41" s="457"/>
    </row>
    <row r="42" spans="1:43" ht="17.100000000000001" customHeight="1" x14ac:dyDescent="0.25">
      <c r="A42" s="37"/>
      <c r="B42" s="37"/>
      <c r="C42" s="37"/>
      <c r="D42" s="1"/>
      <c r="E42" s="1"/>
      <c r="F42" s="1"/>
      <c r="G42" s="1"/>
      <c r="H42" s="1"/>
      <c r="I42" s="35"/>
      <c r="J42" s="35"/>
      <c r="K42" s="35"/>
      <c r="L42" s="2" t="s">
        <v>58</v>
      </c>
      <c r="M42" s="1"/>
      <c r="N42"/>
      <c r="O42" s="1"/>
      <c r="P42" s="1"/>
      <c r="Q42" s="1"/>
      <c r="R42" s="1"/>
      <c r="AQ42" s="450"/>
    </row>
    <row r="43" spans="1:43" s="460" customFormat="1" ht="30" customHeight="1" x14ac:dyDescent="0.25">
      <c r="A43" s="55" t="s">
        <v>59</v>
      </c>
      <c r="B43" s="54"/>
      <c r="C43" s="32"/>
      <c r="D43" s="33"/>
      <c r="E43" s="33"/>
      <c r="F43" s="33"/>
      <c r="G43" s="34"/>
      <c r="H43" s="34"/>
      <c r="I43" s="34"/>
      <c r="J43" s="34"/>
      <c r="K43" s="34"/>
      <c r="L43" s="31"/>
      <c r="M43" s="31"/>
      <c r="N43"/>
      <c r="O43" s="31"/>
      <c r="P43" s="31"/>
      <c r="Q43" s="31"/>
      <c r="R43" s="31"/>
      <c r="S43" s="459"/>
      <c r="T43" s="459"/>
      <c r="U43" s="459"/>
      <c r="V43" s="459"/>
      <c r="W43" s="459"/>
      <c r="X43" s="459"/>
      <c r="Y43" s="459"/>
      <c r="Z43" s="459"/>
      <c r="AA43" s="459"/>
      <c r="AB43" s="459"/>
      <c r="AC43" s="459"/>
      <c r="AD43" s="459"/>
      <c r="AE43" s="459"/>
      <c r="AF43" s="459"/>
      <c r="AG43" s="459"/>
      <c r="AH43" s="459"/>
      <c r="AI43" s="459"/>
      <c r="AJ43" s="459"/>
      <c r="AK43" s="459"/>
      <c r="AL43" s="459"/>
      <c r="AM43" s="459"/>
      <c r="AN43" s="459"/>
      <c r="AO43" s="459"/>
    </row>
    <row r="44" spans="1:43" ht="20.100000000000001" customHeight="1" x14ac:dyDescent="0.25">
      <c r="A44" s="388" t="s">
        <v>31</v>
      </c>
      <c r="B44" s="389">
        <f>F$18</f>
        <v>0</v>
      </c>
      <c r="C44" s="390" t="s">
        <v>60</v>
      </c>
      <c r="D44" s="391">
        <f>$K$18</f>
        <v>0</v>
      </c>
      <c r="E44" s="390" t="s">
        <v>61</v>
      </c>
      <c r="F44" s="391">
        <f>IF(AND(A$58&gt;=10,A$58&lt;=17),84,72)</f>
        <v>72</v>
      </c>
      <c r="G44" s="390" t="s">
        <v>62</v>
      </c>
      <c r="H44" s="389">
        <f>IF(K18&lt;F44,B44,(B44/D44)*F44)</f>
        <v>0</v>
      </c>
      <c r="I44" s="532" t="s">
        <v>63</v>
      </c>
      <c r="J44" s="532"/>
      <c r="K44" s="392">
        <f>DATE(YEAR(I18),MONTH(I18)+F44,DAY(I18))</f>
        <v>2192</v>
      </c>
      <c r="L44" s="1"/>
      <c r="M44" s="1"/>
      <c r="N44"/>
      <c r="O44" s="1"/>
      <c r="P44" s="1"/>
      <c r="Q44" s="1"/>
      <c r="R44" s="1"/>
      <c r="AQ44" s="450"/>
    </row>
    <row r="45" spans="1:43" ht="22.5" customHeight="1" x14ac:dyDescent="0.25">
      <c r="A45" s="393"/>
      <c r="B45" s="394" t="s">
        <v>64</v>
      </c>
      <c r="C45" s="395"/>
      <c r="D45" s="396" t="s">
        <v>65</v>
      </c>
      <c r="E45" s="395"/>
      <c r="F45" s="397" t="s">
        <v>66</v>
      </c>
      <c r="G45" s="395"/>
      <c r="H45" s="394" t="s">
        <v>67</v>
      </c>
      <c r="I45" s="398"/>
      <c r="J45" s="398"/>
      <c r="K45" s="399"/>
      <c r="L45" s="1"/>
      <c r="M45" s="1"/>
      <c r="N45"/>
      <c r="O45" s="164"/>
      <c r="P45" s="1"/>
      <c r="Q45" s="1"/>
      <c r="R45" s="1"/>
      <c r="AQ45" s="450"/>
    </row>
    <row r="46" spans="1:43" ht="20.100000000000001" customHeight="1" x14ac:dyDescent="0.25">
      <c r="A46" s="388" t="s">
        <v>32</v>
      </c>
      <c r="B46" s="389">
        <f>$F$19</f>
        <v>0</v>
      </c>
      <c r="C46" s="390" t="s">
        <v>60</v>
      </c>
      <c r="D46" s="391">
        <f>$K$19</f>
        <v>0</v>
      </c>
      <c r="E46" s="390" t="s">
        <v>61</v>
      </c>
      <c r="F46" s="400">
        <f>IF((YEAR(K$44)-YEAR(Q33))*12+MONTH(K$44)-MONTH(Q33)&lt;0,0,(YEAR(K$44)-YEAR(Q33))*12+MONTH(K$44)-MONTH(Q33))</f>
        <v>71</v>
      </c>
      <c r="G46" s="390" t="s">
        <v>62</v>
      </c>
      <c r="H46" s="389">
        <f>IF(F19=0,0,IF(D46&lt;F46,B46,(B46/D46)*F46))</f>
        <v>0</v>
      </c>
      <c r="I46" s="401"/>
      <c r="J46" s="401"/>
      <c r="K46" s="402"/>
      <c r="L46" s="1"/>
      <c r="M46" s="1"/>
      <c r="N46"/>
      <c r="O46" s="1"/>
      <c r="P46" s="1"/>
      <c r="Q46" s="1"/>
      <c r="R46" s="1"/>
      <c r="AQ46" s="450"/>
    </row>
    <row r="47" spans="1:43" ht="22.5" customHeight="1" x14ac:dyDescent="0.25">
      <c r="A47" s="403"/>
      <c r="B47" s="394" t="s">
        <v>64</v>
      </c>
      <c r="C47" s="404"/>
      <c r="D47" s="396" t="s">
        <v>65</v>
      </c>
      <c r="E47" s="404"/>
      <c r="F47" s="397" t="s">
        <v>66</v>
      </c>
      <c r="G47" s="395"/>
      <c r="H47" s="394" t="s">
        <v>67</v>
      </c>
      <c r="I47" s="398"/>
      <c r="J47" s="398"/>
      <c r="K47" s="399"/>
      <c r="L47" s="1"/>
      <c r="M47" s="1"/>
      <c r="N47"/>
      <c r="O47" s="1"/>
      <c r="P47" s="1"/>
      <c r="Q47" s="1"/>
      <c r="R47" s="1"/>
      <c r="AQ47" s="450"/>
    </row>
    <row r="48" spans="1:43" ht="20.100000000000001" customHeight="1" x14ac:dyDescent="0.25">
      <c r="A48" s="388" t="s">
        <v>33</v>
      </c>
      <c r="B48" s="389">
        <f>$F$20</f>
        <v>0</v>
      </c>
      <c r="C48" s="390" t="s">
        <v>60</v>
      </c>
      <c r="D48" s="391">
        <f>$K$20</f>
        <v>0</v>
      </c>
      <c r="E48" s="390" t="s">
        <v>61</v>
      </c>
      <c r="F48" s="400">
        <f>IF((YEAR(K$44)-YEAR(Q34))*12+MONTH(K$44)-MONTH(Q34)&lt;0,0,(YEAR(K$44)-YEAR(Q34))*12+MONTH(K$44)-MONTH(Q34))</f>
        <v>71</v>
      </c>
      <c r="G48" s="390" t="s">
        <v>62</v>
      </c>
      <c r="H48" s="389">
        <f>IF(F20=0,0,IF(D48&lt;F48,B48,(B48/D48)*F48))</f>
        <v>0</v>
      </c>
      <c r="I48" s="401"/>
      <c r="J48" s="401"/>
      <c r="K48" s="402"/>
      <c r="L48" s="1"/>
      <c r="M48" s="1"/>
      <c r="N48"/>
      <c r="O48" s="1"/>
      <c r="P48" s="1"/>
      <c r="Q48" s="1"/>
      <c r="R48" s="1"/>
      <c r="AQ48" s="450"/>
    </row>
    <row r="49" spans="1:42" ht="22.5" customHeight="1" x14ac:dyDescent="0.25">
      <c r="A49" s="405"/>
      <c r="B49" s="394" t="s">
        <v>64</v>
      </c>
      <c r="C49" s="404"/>
      <c r="D49" s="396" t="s">
        <v>65</v>
      </c>
      <c r="E49" s="404"/>
      <c r="F49" s="397" t="s">
        <v>66</v>
      </c>
      <c r="G49" s="395"/>
      <c r="H49" s="394" t="s">
        <v>67</v>
      </c>
      <c r="I49" s="398"/>
      <c r="J49" s="398"/>
      <c r="K49" s="399"/>
      <c r="L49" s="1"/>
      <c r="M49" s="1"/>
      <c r="N49"/>
      <c r="O49" s="1"/>
      <c r="P49" s="1"/>
      <c r="Q49" s="1"/>
      <c r="R49" s="1"/>
    </row>
    <row r="50" spans="1:42" ht="20.100000000000001" customHeight="1" x14ac:dyDescent="0.25">
      <c r="A50" s="388" t="s">
        <v>34</v>
      </c>
      <c r="B50" s="389">
        <f>$F$21</f>
        <v>0</v>
      </c>
      <c r="C50" s="390" t="s">
        <v>60</v>
      </c>
      <c r="D50" s="400">
        <f>$K$21</f>
        <v>0</v>
      </c>
      <c r="E50" s="390" t="s">
        <v>61</v>
      </c>
      <c r="F50" s="400">
        <f>IF((YEAR(K$44)-YEAR(Q35))*12+MONTH(K$44)-MONTH(Q35)&lt;0,0,(YEAR(K$44)-YEAR(Q35))*12+MONTH(K$44)-MONTH(Q35))</f>
        <v>71</v>
      </c>
      <c r="G50" s="390" t="s">
        <v>62</v>
      </c>
      <c r="H50" s="389">
        <f>IF(F21=0,0,IF(D50&lt;F50,B50,(B50/D50)*F50))</f>
        <v>0</v>
      </c>
      <c r="I50" s="401"/>
      <c r="J50" s="401"/>
      <c r="K50" s="402"/>
      <c r="L50" s="1"/>
      <c r="M50" s="1"/>
      <c r="N50"/>
      <c r="O50" s="1"/>
      <c r="P50" s="1"/>
      <c r="Q50" s="1"/>
      <c r="R50" s="1"/>
    </row>
    <row r="51" spans="1:42" ht="22.5" customHeight="1" x14ac:dyDescent="0.25">
      <c r="A51" s="393"/>
      <c r="B51" s="394" t="s">
        <v>64</v>
      </c>
      <c r="C51" s="404"/>
      <c r="D51" s="396" t="s">
        <v>65</v>
      </c>
      <c r="E51" s="404"/>
      <c r="F51" s="397" t="s">
        <v>66</v>
      </c>
      <c r="G51" s="395"/>
      <c r="H51" s="394" t="s">
        <v>67</v>
      </c>
      <c r="I51" s="398"/>
      <c r="J51" s="398"/>
      <c r="K51" s="399"/>
      <c r="L51" s="1"/>
      <c r="M51" s="1"/>
      <c r="N51"/>
      <c r="O51" s="1"/>
      <c r="P51" s="1"/>
      <c r="Q51" s="1"/>
      <c r="R51" s="1"/>
    </row>
    <row r="52" spans="1:42" ht="20.100000000000001" customHeight="1" x14ac:dyDescent="0.25">
      <c r="A52" s="388" t="s">
        <v>35</v>
      </c>
      <c r="B52" s="389">
        <f>$F$22</f>
        <v>0</v>
      </c>
      <c r="C52" s="390" t="s">
        <v>60</v>
      </c>
      <c r="D52" s="400">
        <f>$K$22</f>
        <v>0</v>
      </c>
      <c r="E52" s="390" t="s">
        <v>61</v>
      </c>
      <c r="F52" s="400">
        <f>IF((YEAR(K$44)-YEAR(Q36))*12+MONTH(K$44)-MONTH(Q36)&lt;0,0,(YEAR(K$44)-YEAR(Q36))*12+MONTH(K$44)-MONTH(Q36))</f>
        <v>71</v>
      </c>
      <c r="G52" s="390" t="s">
        <v>62</v>
      </c>
      <c r="H52" s="389">
        <f>IF(F22=0,0,IF(D52&lt;F52,B52,(B52/D52)*F52))</f>
        <v>0</v>
      </c>
      <c r="I52" s="401"/>
      <c r="J52" s="401"/>
      <c r="K52" s="402"/>
      <c r="L52" s="1"/>
      <c r="M52" s="1"/>
      <c r="N52"/>
      <c r="O52" s="1"/>
      <c r="P52" s="1"/>
      <c r="Q52" s="1"/>
      <c r="R52" s="1"/>
    </row>
    <row r="53" spans="1:42" ht="22.5" customHeight="1" x14ac:dyDescent="0.25">
      <c r="A53" s="403"/>
      <c r="B53" s="394" t="s">
        <v>64</v>
      </c>
      <c r="C53" s="404"/>
      <c r="D53" s="396" t="s">
        <v>65</v>
      </c>
      <c r="E53" s="404"/>
      <c r="F53" s="397" t="s">
        <v>66</v>
      </c>
      <c r="G53" s="395"/>
      <c r="H53" s="394" t="s">
        <v>67</v>
      </c>
      <c r="I53" s="398"/>
      <c r="J53" s="398"/>
      <c r="K53" s="399"/>
      <c r="L53" s="1"/>
      <c r="M53" s="1"/>
      <c r="N53"/>
      <c r="O53" s="1"/>
      <c r="P53" s="1"/>
      <c r="Q53" s="1"/>
      <c r="R53" s="1"/>
    </row>
    <row r="54" spans="1:42" ht="20.100000000000001" customHeight="1" x14ac:dyDescent="0.25">
      <c r="A54" s="388" t="s">
        <v>36</v>
      </c>
      <c r="B54" s="389">
        <f>$F$23</f>
        <v>0</v>
      </c>
      <c r="C54" s="390" t="s">
        <v>60</v>
      </c>
      <c r="D54" s="400">
        <f>$K$23</f>
        <v>0</v>
      </c>
      <c r="E54" s="390" t="s">
        <v>61</v>
      </c>
      <c r="F54" s="400">
        <f>IF((YEAR(K$44)-YEAR(Q37))*12+MONTH(K$44)-MONTH(Q37)&lt;0,0,(YEAR(K$44)-YEAR(Q37))*12+MONTH(K$44)-MONTH(Q37))</f>
        <v>71</v>
      </c>
      <c r="G54" s="390" t="s">
        <v>62</v>
      </c>
      <c r="H54" s="389">
        <f>IF(F23=0,0,IF(D54&lt;F54,B54,(B54/D54)*F54))</f>
        <v>0</v>
      </c>
      <c r="I54" s="401"/>
      <c r="J54" s="401"/>
      <c r="K54" s="402"/>
      <c r="L54" s="1"/>
      <c r="M54" s="1"/>
      <c r="N54"/>
      <c r="O54" s="1"/>
      <c r="P54" s="1"/>
      <c r="Q54" s="1"/>
      <c r="R54" s="1"/>
    </row>
    <row r="55" spans="1:42" ht="22.5" customHeight="1" x14ac:dyDescent="0.25">
      <c r="A55" s="406"/>
      <c r="B55" s="396" t="s">
        <v>64</v>
      </c>
      <c r="C55" s="401"/>
      <c r="D55" s="396" t="s">
        <v>65</v>
      </c>
      <c r="E55" s="401"/>
      <c r="F55" s="396" t="s">
        <v>66</v>
      </c>
      <c r="G55" s="396"/>
      <c r="H55" s="407" t="s">
        <v>67</v>
      </c>
      <c r="I55" s="401"/>
      <c r="J55" s="401"/>
      <c r="K55" s="402"/>
      <c r="L55" s="1"/>
      <c r="M55" s="1"/>
      <c r="N55"/>
      <c r="O55" s="1"/>
      <c r="P55" s="1"/>
      <c r="Q55" s="1"/>
      <c r="R55" s="1"/>
    </row>
    <row r="56" spans="1:42" ht="17.100000000000001" customHeight="1" collapsed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/>
      <c r="O56" s="1"/>
      <c r="P56" s="1"/>
      <c r="Q56" s="1"/>
      <c r="R56" s="1"/>
    </row>
    <row r="57" spans="1:42" s="446" customFormat="1" ht="30" customHeight="1" x14ac:dyDescent="0.25">
      <c r="A57" s="165" t="s">
        <v>68</v>
      </c>
      <c r="B57" s="166"/>
      <c r="C57" s="166"/>
      <c r="D57"/>
      <c r="E57"/>
      <c r="F57"/>
      <c r="G57" s="552" t="s">
        <v>69</v>
      </c>
      <c r="H57" s="553"/>
      <c r="I57"/>
      <c r="J57"/>
      <c r="K57"/>
      <c r="L57" s="184"/>
      <c r="M57" s="184"/>
      <c r="N57"/>
      <c r="O57" s="1"/>
      <c r="P57" s="1"/>
      <c r="Q57" s="1"/>
      <c r="R57" s="1"/>
    </row>
    <row r="58" spans="1:42" s="461" customFormat="1" ht="52.5" customHeight="1" x14ac:dyDescent="0.25">
      <c r="A58" s="498">
        <v>22</v>
      </c>
      <c r="B58" s="408" t="s">
        <v>70</v>
      </c>
      <c r="C58" s="349" t="s">
        <v>71</v>
      </c>
      <c r="D58" s="349" t="s">
        <v>72</v>
      </c>
      <c r="E58" s="349" t="s">
        <v>73</v>
      </c>
      <c r="F58" s="349" t="s">
        <v>74</v>
      </c>
      <c r="G58" s="409" t="s">
        <v>75</v>
      </c>
      <c r="H58" s="409" t="s">
        <v>76</v>
      </c>
      <c r="I58" s="499">
        <v>1</v>
      </c>
      <c r="J58" s="495"/>
      <c r="K58" s="495"/>
      <c r="L58" s="39"/>
      <c r="M58" s="39"/>
      <c r="N58"/>
      <c r="O58" s="39"/>
      <c r="P58" s="39"/>
      <c r="Q58" s="39"/>
      <c r="R58" s="39"/>
      <c r="S58" s="454"/>
      <c r="T58" s="454"/>
      <c r="U58" s="454"/>
      <c r="V58" s="454"/>
      <c r="W58" s="454"/>
      <c r="X58" s="454"/>
      <c r="Y58" s="454"/>
      <c r="Z58" s="454"/>
      <c r="AA58" s="454"/>
      <c r="AB58" s="454"/>
      <c r="AC58" s="454"/>
      <c r="AD58" s="454"/>
      <c r="AE58" s="454"/>
      <c r="AF58" s="454"/>
      <c r="AG58" s="454"/>
      <c r="AH58" s="454"/>
      <c r="AI58" s="454"/>
      <c r="AJ58" s="454"/>
      <c r="AK58" s="454"/>
      <c r="AL58" s="454"/>
      <c r="AM58" s="454"/>
      <c r="AN58" s="454"/>
      <c r="AO58" s="454"/>
      <c r="AP58" s="454"/>
    </row>
    <row r="59" spans="1:42" s="158" customFormat="1" ht="19.5" customHeight="1" x14ac:dyDescent="0.25">
      <c r="A59" s="225">
        <v>100000</v>
      </c>
      <c r="B59" s="537" t="s">
        <v>77</v>
      </c>
      <c r="C59" s="537"/>
      <c r="D59" s="410"/>
      <c r="E59" s="410"/>
      <c r="F59" s="410"/>
      <c r="G59" s="410"/>
      <c r="H59" s="150"/>
      <c r="I59" s="223"/>
      <c r="J59" s="224"/>
      <c r="K59" s="225"/>
      <c r="L59" s="2"/>
      <c r="M59" s="218"/>
      <c r="N59"/>
      <c r="O59" s="2"/>
      <c r="P59" s="2"/>
      <c r="Q59" s="2"/>
      <c r="R59" s="2"/>
      <c r="S59" s="453"/>
      <c r="T59" s="453"/>
      <c r="U59" s="453"/>
      <c r="V59" s="453"/>
      <c r="W59" s="453"/>
      <c r="X59" s="453"/>
      <c r="Y59" s="453"/>
      <c r="Z59" s="453"/>
      <c r="AA59" s="453"/>
      <c r="AB59" s="453"/>
      <c r="AC59" s="453"/>
      <c r="AD59" s="453"/>
      <c r="AE59" s="453"/>
      <c r="AF59" s="453"/>
      <c r="AG59" s="453"/>
      <c r="AH59" s="453"/>
      <c r="AI59" s="453"/>
      <c r="AJ59" s="453"/>
    </row>
    <row r="60" spans="1:42" s="450" customFormat="1" ht="45" customHeight="1" x14ac:dyDescent="0.25">
      <c r="A60" s="231"/>
      <c r="B60" s="411" t="s">
        <v>78</v>
      </c>
      <c r="C60" s="411" t="s">
        <v>79</v>
      </c>
      <c r="D60" s="412" t="str">
        <f>IF(A$58=2,IF(E$5*J60&lt;ROUND(K$5*K60,0),ROUND(E$5*J60,0),ROUND(K$5*K60,0)),"N/A")</f>
        <v>N/A</v>
      </c>
      <c r="E60" s="413" t="str">
        <f>IF(D60="N/A","N/A",IF(G$38&gt;=D60,"Yes",
IF(G$38+MIN(G$24,MAX(D60-G$38,0))&gt;=D60,"Yes",
IF(AND(G$38+MIN(G$24,MAX(D60-G$38,0))&gt;=75%*D60,
G$38+MIN(G$24,MAX(D60-G$38,0))+MIN(H$24,D60-G$38-MIN(G$24,MAX(D60-G$38,0)))&gt;=D60),"Yes","No"))))</f>
        <v>N/A</v>
      </c>
      <c r="F60" s="412" t="str">
        <f>IF(E60="N/A","N/A",G$38+MIN(H$38,G$24)+MIN(I$38,H$24)-D60)</f>
        <v>N/A</v>
      </c>
      <c r="G60" s="414" t="str">
        <f>IF(E60="N/A","N/A",
IF(AND(G$24&gt;0,G$38&gt;0),MAX(D60-G$38,0),0))</f>
        <v>N/A</v>
      </c>
      <c r="H60" s="414" t="str">
        <f>IF(E60="N/A","N/A",IF(AND($A$58=2,H$24&gt;0,G$38+H$38&gt;=75%*D60),MAX(ROUND(D60-G$38-H$38,0),0),0))</f>
        <v>N/A</v>
      </c>
      <c r="I60" s="226" t="s">
        <v>11</v>
      </c>
      <c r="J60" s="227">
        <v>0.2</v>
      </c>
      <c r="K60" s="225">
        <v>130000</v>
      </c>
      <c r="L60" s="1"/>
      <c r="M60" s="159"/>
      <c r="N60"/>
      <c r="O60" s="1"/>
      <c r="P60" s="1"/>
      <c r="Q60" s="1"/>
      <c r="R60" s="1"/>
      <c r="S60" s="446"/>
      <c r="T60" s="446"/>
      <c r="U60" s="446"/>
      <c r="V60" s="446"/>
      <c r="W60" s="446"/>
      <c r="X60" s="446"/>
      <c r="Y60" s="446"/>
      <c r="Z60" s="446"/>
      <c r="AA60" s="446"/>
      <c r="AB60" s="446"/>
      <c r="AC60" s="446"/>
      <c r="AD60" s="446"/>
      <c r="AE60" s="446"/>
      <c r="AF60" s="446"/>
      <c r="AG60" s="446"/>
      <c r="AH60" s="446"/>
      <c r="AI60" s="446"/>
      <c r="AJ60" s="446"/>
      <c r="AK60" s="446"/>
      <c r="AL60" s="446"/>
      <c r="AM60" s="446"/>
      <c r="AN60" s="446"/>
      <c r="AO60" s="446"/>
      <c r="AP60" s="446"/>
    </row>
    <row r="61" spans="1:42" s="450" customFormat="1" ht="45" customHeight="1" x14ac:dyDescent="0.25">
      <c r="A61" s="232"/>
      <c r="B61" s="411" t="s">
        <v>80</v>
      </c>
      <c r="C61" s="411" t="s">
        <v>81</v>
      </c>
      <c r="D61" s="412" t="str">
        <f>IF(A$58=3,ROUND(K5*K61,0),"N/A")</f>
        <v>N/A</v>
      </c>
      <c r="E61" s="413" t="str">
        <f>IF(D61="N/A","N/A",IF(G$38&gt;=D61,"Yes",
IF(G$38+MIN(G$24,MAX(D61-G$38,0))&gt;=D61,"Yes",
IF(AND(G$38+MIN(G$24,MAX(D61-G$38,0))&gt;=75%*D61,
G$38+MIN(G$24,MAX(D61-G$38,0))+MIN(H$24,D61-G$38-MIN(G$24,MAX(D61-G$38,0)))&gt;=D61),"Yes","No"))))</f>
        <v>N/A</v>
      </c>
      <c r="F61" s="412" t="str">
        <f>IF(E61="N/A","N/A",G$38+MIN(H$38,G$24)+MIN(I$38,H$24)-D61)</f>
        <v>N/A</v>
      </c>
      <c r="G61" s="414" t="str">
        <f>IF(E61="N/A","N/A",
IF(AND(G$24&gt;0,G$38&gt;0),MAX(D61-G$38,0),0))</f>
        <v>N/A</v>
      </c>
      <c r="H61" s="414" t="str">
        <f>IF(E61="N/A","N/A",IF(AND($A$58=3,H$24&gt;0,G$38+H$38&gt;=75%*D61),MAX(ROUND(D61-G$38-H$38,0),0),0))</f>
        <v>N/A</v>
      </c>
      <c r="I61" s="226" t="s">
        <v>82</v>
      </c>
      <c r="J61" s="224"/>
      <c r="K61" s="225">
        <v>130000</v>
      </c>
      <c r="L61" s="1"/>
      <c r="M61" s="159"/>
      <c r="N61"/>
      <c r="O61" s="1"/>
      <c r="P61" s="1"/>
      <c r="Q61" s="1"/>
      <c r="R61" s="1"/>
      <c r="S61" s="446"/>
      <c r="T61" s="446"/>
      <c r="U61" s="446"/>
      <c r="V61" s="446"/>
      <c r="W61" s="446"/>
      <c r="X61" s="446"/>
      <c r="Y61" s="446"/>
      <c r="Z61" s="446"/>
      <c r="AA61" s="446"/>
      <c r="AB61" s="446"/>
      <c r="AC61" s="446"/>
      <c r="AD61" s="446"/>
      <c r="AE61" s="446"/>
      <c r="AF61" s="446"/>
      <c r="AG61" s="446"/>
      <c r="AH61" s="446"/>
      <c r="AI61" s="446"/>
      <c r="AJ61" s="446"/>
      <c r="AK61" s="446"/>
      <c r="AL61" s="446"/>
      <c r="AM61" s="446"/>
      <c r="AN61" s="446"/>
      <c r="AO61" s="446"/>
      <c r="AP61" s="446"/>
    </row>
    <row r="62" spans="1:42" s="450" customFormat="1" ht="39.9" customHeight="1" x14ac:dyDescent="0.25">
      <c r="A62" s="232"/>
      <c r="B62" s="411" t="s">
        <v>83</v>
      </c>
      <c r="C62" s="415" t="s">
        <v>84</v>
      </c>
      <c r="D62" s="412" t="str">
        <f>IF(A$58=4,ROUND(E5*J62,0),"N/A")</f>
        <v>N/A</v>
      </c>
      <c r="E62" s="413" t="str">
        <f>IF(D62="N/A","N/A",IF(G$38&gt;=D62,"Yes",
IF(G$38+MIN(G$24,MAX(D62-G$38,0))&gt;=D62,"Yes",
IF(AND(G$38+MIN(G$24,MAX(D62-G$38,0))&gt;=75%*D62,
G$38+MIN(G$24,MAX(D62-G$38,0))+MIN(H$24,D62-G$38-MIN(G$24,MAX(D62-G$38,0)))&gt;=D62),"Yes","No"))))</f>
        <v>N/A</v>
      </c>
      <c r="F62" s="412" t="str">
        <f>IF(E62="N/A","N/A",G$38+MIN(H$38,G$24)+MIN(I$38,H$24)-D62)</f>
        <v>N/A</v>
      </c>
      <c r="G62" s="414" t="str">
        <f t="shared" ref="G62:G79" si="11">IF(E62="N/A","N/A",
IF(AND(G$24&gt;0,G$38&gt;0),MAX(D62-G$38,0),0))</f>
        <v>N/A</v>
      </c>
      <c r="H62" s="414" t="str">
        <f>IF(E62="N/A","N/A",IF(AND($A$58=4,H$24&gt;0,G$38+H$38&gt;=75%*D62),MAX(ROUND(D62-G$38-H$38,0),0),0))</f>
        <v>N/A</v>
      </c>
      <c r="I62" s="226"/>
      <c r="J62" s="227">
        <v>0.1</v>
      </c>
      <c r="K62" s="225"/>
      <c r="L62" s="1"/>
      <c r="M62" s="159"/>
      <c r="N62"/>
      <c r="O62" s="1"/>
      <c r="P62" s="1"/>
      <c r="Q62" s="1"/>
      <c r="R62" s="1"/>
      <c r="S62" s="446"/>
      <c r="T62" s="446"/>
      <c r="U62" s="446"/>
      <c r="V62" s="446"/>
      <c r="W62" s="446"/>
      <c r="X62" s="446"/>
      <c r="Y62" s="446"/>
      <c r="Z62" s="446"/>
      <c r="AA62" s="446"/>
      <c r="AB62" s="446"/>
      <c r="AC62" s="446"/>
      <c r="AD62" s="446"/>
      <c r="AE62" s="446"/>
      <c r="AF62" s="446"/>
      <c r="AG62" s="446"/>
      <c r="AH62" s="446"/>
      <c r="AI62" s="446"/>
      <c r="AJ62" s="446"/>
      <c r="AK62" s="446"/>
      <c r="AL62" s="446"/>
      <c r="AM62" s="446"/>
      <c r="AN62" s="446"/>
      <c r="AO62" s="446"/>
      <c r="AP62" s="446"/>
    </row>
    <row r="63" spans="1:42" s="450" customFormat="1" ht="39.9" customHeight="1" x14ac:dyDescent="0.25">
      <c r="A63" s="231"/>
      <c r="B63" s="411" t="s">
        <v>85</v>
      </c>
      <c r="C63" s="411" t="s">
        <v>86</v>
      </c>
      <c r="D63" s="412" t="str">
        <f>IF(A$58=5,IF(E$5*J63&gt;=K63,K63,ROUND((E$5*J63),0)),"N/A")</f>
        <v>N/A</v>
      </c>
      <c r="E63" s="413" t="str">
        <f>IF(D63="N/A","N/A",IF(G$38&gt;=D63,"Yes",
IF(G$38+MIN(G$24,MAX(D63-G$38,0))&gt;=D63,"Yes",
IF(AND(G$38+MIN(G$24,MAX(D63-G$38,0))&gt;=75%*D63,
G$38+MIN(G$24,MAX(D63-G$38,0))+MIN(H$24,D63-G$38-MIN(G$24,MAX(D63-G$38,0)))&gt;=D63),"Yes","No"))))</f>
        <v>N/A</v>
      </c>
      <c r="F63" s="412" t="str">
        <f>IF(E63="N/A","N/A",G$38+MIN(H$38,G$24)+MIN(I$38,H$24)-D63)</f>
        <v>N/A</v>
      </c>
      <c r="G63" s="414" t="str">
        <f t="shared" si="11"/>
        <v>N/A</v>
      </c>
      <c r="H63" s="414" t="str">
        <f>IF(E63="N/A","N/A",IF(AND($A$58=5,H$24&gt;0,G$38+H$38&gt;=75%*D63),MAX(ROUND(D63-G$38-H$38,0),0),0))</f>
        <v>N/A</v>
      </c>
      <c r="I63" s="223"/>
      <c r="J63" s="227">
        <v>0.05</v>
      </c>
      <c r="K63" s="225">
        <v>190000</v>
      </c>
      <c r="L63" s="1"/>
      <c r="M63" s="1"/>
      <c r="N63"/>
      <c r="O63" s="1"/>
      <c r="P63" s="1"/>
      <c r="Q63" s="1"/>
      <c r="R63" s="1"/>
      <c r="S63" s="446"/>
      <c r="T63" s="446"/>
      <c r="U63" s="446"/>
      <c r="V63" s="446"/>
      <c r="W63" s="446"/>
      <c r="X63" s="446"/>
      <c r="Y63" s="446"/>
      <c r="Z63" s="446"/>
      <c r="AA63" s="446"/>
      <c r="AB63" s="446"/>
      <c r="AC63" s="446"/>
      <c r="AD63" s="446"/>
      <c r="AE63" s="446"/>
      <c r="AF63" s="446"/>
      <c r="AG63" s="446"/>
      <c r="AH63" s="446"/>
      <c r="AI63" s="446"/>
      <c r="AJ63" s="446"/>
      <c r="AK63" s="446"/>
      <c r="AL63" s="446"/>
      <c r="AM63" s="446"/>
      <c r="AN63" s="446"/>
      <c r="AO63" s="446"/>
      <c r="AP63" s="446"/>
    </row>
    <row r="64" spans="1:42" ht="19.5" customHeight="1" x14ac:dyDescent="0.25">
      <c r="A64" s="416"/>
      <c r="B64" s="417" t="s">
        <v>87</v>
      </c>
      <c r="C64" s="418"/>
      <c r="D64" s="419"/>
      <c r="E64" s="419"/>
      <c r="F64" s="420"/>
      <c r="G64" s="264"/>
      <c r="H64" s="421"/>
      <c r="I64" s="223"/>
      <c r="J64" s="224"/>
      <c r="K64" s="225"/>
      <c r="L64" s="1"/>
      <c r="M64" s="1"/>
      <c r="N64"/>
      <c r="O64" s="1"/>
      <c r="P64" s="1"/>
      <c r="Q64" s="1"/>
      <c r="R64" s="1"/>
    </row>
    <row r="65" spans="1:42" ht="45" customHeight="1" x14ac:dyDescent="0.25">
      <c r="A65" s="231"/>
      <c r="B65" s="411" t="s">
        <v>88</v>
      </c>
      <c r="C65" s="411" t="s">
        <v>89</v>
      </c>
      <c r="D65" s="412" t="str">
        <f>IF(A$58=7,IF($E$5*J65&lt;$K$5*K65,ROUND($E$5*J65,0),ROUND($K$5*K65,0)),"N/A")</f>
        <v>N/A</v>
      </c>
      <c r="E65" s="413" t="str">
        <f t="shared" ref="E65:E79" si="12">IF(D65="N/A","N/A",
IF(G$38+MIN(G$24,MAX(D65-G$38,0))&gt;=D65,"Yes",
IF(AND(G$38+MIN(G$24,MAX(D65-G$38,0))&gt;=75%*D65,
G$38+MIN(G$24,MAX(D65-G$38,0))+MIN(H$24,D65-G$38-MIN(G$24,MAX(D65-G$38,0)))&gt;=D65),"Yes","No")))</f>
        <v>N/A</v>
      </c>
      <c r="F65" s="412" t="str">
        <f>IF(E65="N/A","N/A",G$38+MIN(H$38,G$24)+MIN(I$38,H$24)-D65)</f>
        <v>N/A</v>
      </c>
      <c r="G65" s="414" t="str">
        <f t="shared" si="11"/>
        <v>N/A</v>
      </c>
      <c r="H65" s="421"/>
      <c r="I65" s="226"/>
      <c r="J65" s="227">
        <v>0.3</v>
      </c>
      <c r="K65" s="225">
        <v>100000</v>
      </c>
      <c r="L65" s="1"/>
      <c r="M65" s="1"/>
      <c r="N65"/>
      <c r="O65" s="1"/>
      <c r="P65" s="1"/>
      <c r="Q65" s="1"/>
      <c r="R65" s="1"/>
    </row>
    <row r="66" spans="1:42" s="462" customFormat="1" ht="39.9" customHeight="1" x14ac:dyDescent="0.25">
      <c r="A66" s="231"/>
      <c r="B66" s="411" t="s">
        <v>90</v>
      </c>
      <c r="C66" s="411" t="s">
        <v>91</v>
      </c>
      <c r="D66" s="412" t="str">
        <f>IF(A$58=8,IF(($E$5*J66)&lt;ROUND(($K$5*K66),0),ROUND(($E$5*J66),0),ROUND(($K$5*K66),0)),"N/A")</f>
        <v>N/A</v>
      </c>
      <c r="E66" s="413" t="str">
        <f t="shared" si="12"/>
        <v>N/A</v>
      </c>
      <c r="F66" s="412" t="str">
        <f>IF(E66="N/A","N/A",G$38+MIN(H$38,G$24)+MIN(I$38,H$24)-D66)</f>
        <v>N/A</v>
      </c>
      <c r="G66" s="414" t="str">
        <f t="shared" si="11"/>
        <v>N/A</v>
      </c>
      <c r="H66" s="424"/>
      <c r="I66" s="226"/>
      <c r="J66" s="227">
        <v>0.4</v>
      </c>
      <c r="K66" s="225">
        <v>100000</v>
      </c>
      <c r="L66" s="2"/>
      <c r="M66" s="2"/>
      <c r="N66"/>
      <c r="O66" s="2"/>
      <c r="P66" s="2"/>
      <c r="Q66" s="2"/>
      <c r="R66" s="2"/>
      <c r="S66" s="453"/>
      <c r="T66" s="453"/>
      <c r="U66" s="453"/>
      <c r="V66" s="453"/>
      <c r="W66" s="453"/>
      <c r="X66" s="453"/>
      <c r="Y66" s="453"/>
      <c r="Z66" s="453"/>
      <c r="AA66" s="453"/>
      <c r="AB66" s="453"/>
      <c r="AC66" s="453"/>
      <c r="AD66" s="453"/>
      <c r="AE66" s="453"/>
      <c r="AF66" s="453"/>
      <c r="AG66" s="453"/>
      <c r="AH66" s="453"/>
      <c r="AI66" s="453"/>
      <c r="AJ66" s="453"/>
      <c r="AK66" s="453"/>
      <c r="AL66" s="453"/>
      <c r="AM66" s="453"/>
      <c r="AN66" s="453"/>
      <c r="AO66" s="453"/>
      <c r="AP66" s="453"/>
    </row>
    <row r="67" spans="1:42" s="462" customFormat="1" ht="45" customHeight="1" x14ac:dyDescent="0.25">
      <c r="A67" s="231"/>
      <c r="B67" s="411" t="s">
        <v>92</v>
      </c>
      <c r="C67" s="411" t="s">
        <v>93</v>
      </c>
      <c r="D67" s="412" t="str">
        <f>IF(A$58=9,ROUND(($K$5*K67),0),"N/A")</f>
        <v>N/A</v>
      </c>
      <c r="E67" s="413" t="str">
        <f t="shared" si="12"/>
        <v>N/A</v>
      </c>
      <c r="F67" s="412" t="str">
        <f>IF(E67="N/A","N/A",G$38+MIN(H$38,G$24)+MIN(I$38,H$24)-D67)</f>
        <v>N/A</v>
      </c>
      <c r="G67" s="414" t="str">
        <f t="shared" si="11"/>
        <v>N/A</v>
      </c>
      <c r="H67" s="424"/>
      <c r="I67" s="226"/>
      <c r="J67" s="224"/>
      <c r="K67" s="225">
        <v>100000</v>
      </c>
      <c r="L67" s="2"/>
      <c r="M67" s="2"/>
      <c r="N67"/>
      <c r="O67" s="2"/>
      <c r="P67" s="2"/>
      <c r="Q67" s="2"/>
      <c r="R67" s="2"/>
      <c r="S67" s="453"/>
      <c r="T67" s="453"/>
      <c r="U67" s="453"/>
      <c r="V67" s="453"/>
      <c r="W67" s="453"/>
      <c r="X67" s="453"/>
      <c r="Y67" s="453"/>
      <c r="Z67" s="453"/>
      <c r="AA67" s="453"/>
      <c r="AB67" s="453"/>
      <c r="AC67" s="453"/>
      <c r="AD67" s="453"/>
      <c r="AE67" s="453"/>
      <c r="AF67" s="453"/>
      <c r="AG67" s="453"/>
      <c r="AH67" s="453"/>
      <c r="AI67" s="453"/>
      <c r="AJ67" s="453"/>
      <c r="AK67" s="453"/>
      <c r="AL67" s="453"/>
      <c r="AM67" s="453"/>
      <c r="AN67" s="453"/>
      <c r="AO67" s="453"/>
      <c r="AP67" s="453"/>
    </row>
    <row r="68" spans="1:42" s="462" customFormat="1" ht="39.9" customHeight="1" x14ac:dyDescent="0.25">
      <c r="A68" s="231"/>
      <c r="B68" s="411" t="s">
        <v>94</v>
      </c>
      <c r="C68" s="411" t="s">
        <v>95</v>
      </c>
      <c r="D68" s="412" t="str">
        <f>IF(A$58=10,MIN(ROUND(($E$5*J68),0),K68),"N/A")</f>
        <v>N/A</v>
      </c>
      <c r="E68" s="413" t="str">
        <f t="shared" si="12"/>
        <v>N/A</v>
      </c>
      <c r="F68" s="412" t="str">
        <f>IF(E68="N/A","N/A",G$38+MIN(H$38,G$24)+MIN(I$38,H$24)-D68)</f>
        <v>N/A</v>
      </c>
      <c r="G68" s="414" t="str">
        <f t="shared" si="11"/>
        <v>N/A</v>
      </c>
      <c r="H68" s="424"/>
      <c r="I68" s="226"/>
      <c r="J68" s="227">
        <v>0.1</v>
      </c>
      <c r="K68" s="225">
        <v>90000</v>
      </c>
      <c r="L68" s="2"/>
      <c r="M68" s="2"/>
      <c r="N68"/>
      <c r="O68" s="2"/>
      <c r="P68" s="2"/>
      <c r="Q68" s="2"/>
      <c r="R68" s="2"/>
      <c r="S68" s="453"/>
      <c r="T68" s="453"/>
      <c r="U68" s="453"/>
      <c r="V68" s="453"/>
      <c r="W68" s="453"/>
      <c r="X68" s="453"/>
      <c r="Y68" s="453"/>
      <c r="Z68" s="453"/>
      <c r="AA68" s="453"/>
      <c r="AB68" s="453"/>
      <c r="AC68" s="453"/>
      <c r="AD68" s="453"/>
      <c r="AE68" s="453"/>
      <c r="AF68" s="453"/>
      <c r="AG68" s="453"/>
      <c r="AH68" s="453"/>
      <c r="AI68" s="453"/>
      <c r="AJ68" s="453"/>
      <c r="AK68" s="453"/>
      <c r="AL68" s="453"/>
      <c r="AM68" s="453"/>
      <c r="AN68" s="453"/>
      <c r="AO68" s="453"/>
      <c r="AP68" s="453"/>
    </row>
    <row r="69" spans="1:42" s="158" customFormat="1" ht="19.5" customHeight="1" x14ac:dyDescent="0.25">
      <c r="A69" s="231"/>
      <c r="B69" s="422" t="s">
        <v>96</v>
      </c>
      <c r="C69" s="423"/>
      <c r="D69" s="420"/>
      <c r="E69" s="420"/>
      <c r="F69" s="420"/>
      <c r="G69" s="264"/>
      <c r="H69" s="424"/>
      <c r="I69" s="226"/>
      <c r="J69" s="224"/>
      <c r="K69" s="225"/>
      <c r="L69" s="2"/>
      <c r="M69" s="2"/>
      <c r="N69"/>
      <c r="O69" s="2"/>
      <c r="P69" s="2"/>
      <c r="Q69" s="2"/>
      <c r="R69" s="2"/>
      <c r="S69" s="453"/>
      <c r="T69" s="453"/>
      <c r="U69" s="453"/>
      <c r="V69" s="453"/>
      <c r="W69" s="453"/>
      <c r="X69" s="453"/>
      <c r="Y69" s="453"/>
      <c r="Z69" s="453"/>
      <c r="AA69" s="453"/>
      <c r="AB69" s="453"/>
      <c r="AC69" s="453"/>
      <c r="AD69" s="453"/>
      <c r="AE69" s="453"/>
      <c r="AF69" s="453"/>
      <c r="AG69" s="453"/>
      <c r="AH69" s="453"/>
      <c r="AI69" s="453"/>
      <c r="AJ69" s="453"/>
    </row>
    <row r="70" spans="1:42" s="158" customFormat="1" ht="39.9" customHeight="1" x14ac:dyDescent="0.25">
      <c r="A70" s="231"/>
      <c r="B70" s="411" t="s">
        <v>97</v>
      </c>
      <c r="C70" s="411" t="s">
        <v>98</v>
      </c>
      <c r="D70" s="412" t="str">
        <f>IF(A$58=12,IF(E$5*J70&lt;K$5*K70,ROUND(E$5*J70,0),ROUND(K$5*K70,0)),"N/A")</f>
        <v>N/A</v>
      </c>
      <c r="E70" s="413" t="str">
        <f t="shared" si="12"/>
        <v>N/A</v>
      </c>
      <c r="F70" s="412" t="str">
        <f t="shared" ref="F70:F76" si="13">IF(E70="N/A","N/A",G$38+MIN(H$38,G$24)+MIN(I$38,H$24)-D70)</f>
        <v>N/A</v>
      </c>
      <c r="G70" s="414" t="str">
        <f t="shared" si="11"/>
        <v>N/A</v>
      </c>
      <c r="H70" s="424"/>
      <c r="I70" s="226" t="s">
        <v>11</v>
      </c>
      <c r="J70" s="227">
        <v>0.45</v>
      </c>
      <c r="K70" s="225">
        <v>315000</v>
      </c>
      <c r="L70" s="2"/>
      <c r="M70" s="2"/>
      <c r="N70"/>
      <c r="O70" s="2"/>
      <c r="P70" s="2"/>
      <c r="Q70" s="2"/>
      <c r="R70" s="2"/>
      <c r="S70" s="453"/>
      <c r="T70" s="453"/>
      <c r="U70" s="453"/>
      <c r="V70" s="453"/>
      <c r="W70" s="453"/>
      <c r="X70" s="453"/>
      <c r="Y70" s="453"/>
      <c r="Z70" s="453"/>
      <c r="AA70" s="453"/>
      <c r="AB70" s="453"/>
      <c r="AC70" s="453"/>
      <c r="AD70" s="453"/>
      <c r="AE70" s="453"/>
      <c r="AF70" s="453"/>
      <c r="AG70" s="453"/>
      <c r="AH70" s="453"/>
      <c r="AI70" s="453"/>
      <c r="AJ70" s="453"/>
    </row>
    <row r="71" spans="1:42" s="158" customFormat="1" ht="50.1" customHeight="1" x14ac:dyDescent="0.25">
      <c r="A71" s="231"/>
      <c r="B71" s="411" t="s">
        <v>99</v>
      </c>
      <c r="C71" s="411" t="s">
        <v>100</v>
      </c>
      <c r="D71" s="412" t="str">
        <f>IF(A$58=13,ROUND(K$5*K71,0),"N/A")</f>
        <v>N/A</v>
      </c>
      <c r="E71" s="413" t="str">
        <f t="shared" si="12"/>
        <v>N/A</v>
      </c>
      <c r="F71" s="412" t="str">
        <f t="shared" si="13"/>
        <v>N/A</v>
      </c>
      <c r="G71" s="414" t="str">
        <f t="shared" si="11"/>
        <v>N/A</v>
      </c>
      <c r="H71" s="424"/>
      <c r="I71" s="226" t="s">
        <v>82</v>
      </c>
      <c r="J71" s="224"/>
      <c r="K71" s="225">
        <v>315000</v>
      </c>
      <c r="L71" s="2"/>
      <c r="M71" s="2"/>
      <c r="N71"/>
      <c r="O71" s="2"/>
      <c r="P71" s="2"/>
      <c r="Q71" s="2"/>
      <c r="R71" s="2"/>
      <c r="S71" s="453"/>
      <c r="T71" s="453"/>
      <c r="U71" s="453"/>
      <c r="V71" s="453"/>
      <c r="W71" s="453"/>
      <c r="X71" s="453"/>
      <c r="Y71" s="453"/>
      <c r="Z71" s="453"/>
      <c r="AA71" s="453"/>
      <c r="AB71" s="453"/>
      <c r="AC71" s="453"/>
      <c r="AD71" s="453"/>
      <c r="AE71" s="453"/>
      <c r="AF71" s="453"/>
      <c r="AG71" s="453"/>
      <c r="AH71" s="453"/>
      <c r="AI71" s="453"/>
      <c r="AJ71" s="453"/>
    </row>
    <row r="72" spans="1:42" s="158" customFormat="1" ht="60" customHeight="1" x14ac:dyDescent="0.25">
      <c r="A72" s="231"/>
      <c r="B72" s="411" t="s">
        <v>101</v>
      </c>
      <c r="C72" s="411" t="s">
        <v>102</v>
      </c>
      <c r="D72" s="412" t="str">
        <f>IF(A$58=14,ROUND(K5*K72,0),"N/A")</f>
        <v>N/A</v>
      </c>
      <c r="E72" s="413" t="str">
        <f t="shared" si="12"/>
        <v>N/A</v>
      </c>
      <c r="F72" s="412" t="str">
        <f t="shared" si="13"/>
        <v>N/A</v>
      </c>
      <c r="G72" s="414" t="str">
        <f t="shared" si="11"/>
        <v>N/A</v>
      </c>
      <c r="H72" s="424"/>
      <c r="I72" s="226"/>
      <c r="J72" s="224"/>
      <c r="K72" s="225">
        <v>235000</v>
      </c>
      <c r="L72" s="2"/>
      <c r="M72" s="2"/>
      <c r="N72"/>
      <c r="O72" s="2"/>
      <c r="P72" s="2"/>
      <c r="Q72" s="2"/>
      <c r="R72" s="2"/>
      <c r="S72" s="453"/>
      <c r="T72" s="453"/>
      <c r="U72" s="453"/>
      <c r="V72" s="453"/>
      <c r="W72" s="453"/>
      <c r="X72" s="453"/>
      <c r="Y72" s="453"/>
      <c r="Z72" s="453"/>
      <c r="AA72" s="453"/>
      <c r="AB72" s="453"/>
      <c r="AC72" s="453"/>
      <c r="AD72" s="453"/>
      <c r="AE72" s="453"/>
      <c r="AF72" s="453"/>
      <c r="AG72" s="453"/>
      <c r="AH72" s="453"/>
      <c r="AI72" s="453"/>
      <c r="AJ72" s="453"/>
    </row>
    <row r="73" spans="1:42" s="158" customFormat="1" ht="39.9" customHeight="1" x14ac:dyDescent="0.25">
      <c r="A73" s="231"/>
      <c r="B73" s="411" t="s">
        <v>103</v>
      </c>
      <c r="C73" s="411" t="s">
        <v>104</v>
      </c>
      <c r="D73" s="412" t="str">
        <f>IF(A$58=15,ROUND(E$5*J73,0),"N/A")</f>
        <v>N/A</v>
      </c>
      <c r="E73" s="413" t="str">
        <f t="shared" si="12"/>
        <v>N/A</v>
      </c>
      <c r="F73" s="412" t="str">
        <f t="shared" si="13"/>
        <v>N/A</v>
      </c>
      <c r="G73" s="414" t="str">
        <f t="shared" si="11"/>
        <v>N/A</v>
      </c>
      <c r="H73" s="424"/>
      <c r="I73" s="226" t="s">
        <v>11</v>
      </c>
      <c r="J73" s="228">
        <v>0.125</v>
      </c>
      <c r="K73" s="225"/>
      <c r="L73" s="2"/>
      <c r="M73" s="2"/>
      <c r="N73"/>
      <c r="O73" s="2"/>
      <c r="P73" s="2"/>
      <c r="Q73" s="2"/>
      <c r="R73" s="2"/>
      <c r="S73" s="453"/>
      <c r="T73" s="453"/>
      <c r="U73" s="453"/>
      <c r="V73" s="453"/>
      <c r="W73" s="453"/>
      <c r="X73" s="453"/>
      <c r="Y73" s="453"/>
      <c r="Z73" s="453"/>
      <c r="AA73" s="453"/>
      <c r="AB73" s="453"/>
      <c r="AC73" s="453"/>
      <c r="AD73" s="453"/>
      <c r="AE73" s="453"/>
      <c r="AF73" s="453"/>
      <c r="AG73" s="453"/>
      <c r="AH73" s="453"/>
      <c r="AI73" s="453"/>
      <c r="AJ73" s="453"/>
    </row>
    <row r="74" spans="1:42" s="158" customFormat="1" ht="39.9" customHeight="1" x14ac:dyDescent="0.25">
      <c r="A74" s="231"/>
      <c r="B74" s="411" t="s">
        <v>105</v>
      </c>
      <c r="C74" s="411" t="s">
        <v>106</v>
      </c>
      <c r="D74" s="412" t="str">
        <f>IF(A$58=16,IF(E$5*J74&lt;K74,ROUND(E$5*J74,0),K74),"N/A")</f>
        <v>N/A</v>
      </c>
      <c r="E74" s="413" t="str">
        <f t="shared" si="12"/>
        <v>N/A</v>
      </c>
      <c r="F74" s="412" t="str">
        <f t="shared" si="13"/>
        <v>N/A</v>
      </c>
      <c r="G74" s="414" t="str">
        <f t="shared" si="11"/>
        <v>N/A</v>
      </c>
      <c r="H74" s="424"/>
      <c r="I74" s="226" t="s">
        <v>82</v>
      </c>
      <c r="J74" s="227">
        <v>0.05</v>
      </c>
      <c r="K74" s="225">
        <v>230000</v>
      </c>
      <c r="L74" s="2"/>
      <c r="M74" s="2"/>
      <c r="N74"/>
      <c r="O74" s="2"/>
      <c r="P74" s="2"/>
      <c r="Q74" s="2"/>
      <c r="R74" s="2"/>
      <c r="S74" s="453"/>
      <c r="T74" s="453"/>
      <c r="U74" s="453"/>
      <c r="V74" s="453"/>
      <c r="W74" s="453"/>
      <c r="X74" s="453"/>
      <c r="Y74" s="453"/>
      <c r="Z74" s="453"/>
      <c r="AA74" s="453"/>
      <c r="AB74" s="453"/>
      <c r="AC74" s="453"/>
      <c r="AD74" s="453"/>
      <c r="AE74" s="453"/>
      <c r="AF74" s="453"/>
      <c r="AG74" s="453"/>
      <c r="AH74" s="453"/>
      <c r="AI74" s="453"/>
      <c r="AJ74" s="453"/>
    </row>
    <row r="75" spans="1:42" s="158" customFormat="1" ht="39.9" customHeight="1" x14ac:dyDescent="0.25">
      <c r="A75" s="231"/>
      <c r="B75" s="411" t="s">
        <v>107</v>
      </c>
      <c r="C75" s="411" t="s">
        <v>108</v>
      </c>
      <c r="D75" s="412" t="str">
        <f>IF(A$58=17,ROUND(K5*K75*2,0),"N/A")</f>
        <v>N/A</v>
      </c>
      <c r="E75" s="413" t="str">
        <f t="shared" si="12"/>
        <v>N/A</v>
      </c>
      <c r="F75" s="412" t="str">
        <f t="shared" si="13"/>
        <v>N/A</v>
      </c>
      <c r="G75" s="414" t="str">
        <f t="shared" si="11"/>
        <v>N/A</v>
      </c>
      <c r="H75" s="424"/>
      <c r="I75" s="226"/>
      <c r="J75" s="224"/>
      <c r="K75" s="225">
        <v>205000</v>
      </c>
      <c r="L75" s="2"/>
      <c r="M75" s="2"/>
      <c r="N75"/>
      <c r="O75" s="2"/>
      <c r="P75" s="2"/>
      <c r="Q75" s="2"/>
      <c r="R75" s="2"/>
      <c r="S75" s="453"/>
      <c r="T75" s="453"/>
      <c r="U75" s="453"/>
      <c r="V75" s="453"/>
      <c r="W75" s="453"/>
      <c r="X75" s="453"/>
      <c r="Y75" s="453"/>
      <c r="Z75" s="453"/>
      <c r="AA75" s="453"/>
      <c r="AB75" s="453"/>
      <c r="AC75" s="453"/>
      <c r="AD75" s="453"/>
      <c r="AE75" s="453"/>
      <c r="AF75" s="453"/>
      <c r="AG75" s="453"/>
      <c r="AH75" s="453"/>
      <c r="AI75" s="453"/>
      <c r="AJ75" s="453"/>
    </row>
    <row r="76" spans="1:42" s="158" customFormat="1" ht="39.9" customHeight="1" x14ac:dyDescent="0.25">
      <c r="A76" s="231"/>
      <c r="B76" s="411" t="s">
        <v>109</v>
      </c>
      <c r="C76" s="411" t="s">
        <v>110</v>
      </c>
      <c r="D76" s="412" t="str">
        <f>IF(A$58=18,ROUND(K5*K76,0),"N/A")</f>
        <v>N/A</v>
      </c>
      <c r="E76" s="413" t="str">
        <f t="shared" si="12"/>
        <v>N/A</v>
      </c>
      <c r="F76" s="412" t="str">
        <f t="shared" si="13"/>
        <v>N/A</v>
      </c>
      <c r="G76" s="414" t="str">
        <f t="shared" si="11"/>
        <v>N/A</v>
      </c>
      <c r="H76" s="424"/>
      <c r="I76" s="229" t="s">
        <v>111</v>
      </c>
      <c r="J76" s="224"/>
      <c r="K76" s="225">
        <v>525000</v>
      </c>
      <c r="L76" s="150"/>
      <c r="M76" s="2"/>
      <c r="N76"/>
      <c r="O76" s="2"/>
      <c r="P76" s="2"/>
      <c r="Q76" s="5"/>
      <c r="R76" s="2"/>
      <c r="S76" s="453"/>
      <c r="T76" s="453"/>
      <c r="U76" s="453"/>
      <c r="V76" s="453"/>
      <c r="W76" s="453"/>
      <c r="X76" s="453"/>
      <c r="Y76" s="453"/>
      <c r="Z76" s="453"/>
      <c r="AA76" s="453"/>
      <c r="AB76" s="453"/>
      <c r="AC76" s="453"/>
      <c r="AD76" s="453"/>
      <c r="AE76" s="453"/>
      <c r="AF76" s="453"/>
      <c r="AG76" s="453"/>
      <c r="AH76" s="453"/>
      <c r="AI76" s="453"/>
      <c r="AJ76" s="453"/>
    </row>
    <row r="77" spans="1:42" s="462" customFormat="1" ht="19.5" customHeight="1" x14ac:dyDescent="0.25">
      <c r="A77" s="231"/>
      <c r="B77" s="422" t="s">
        <v>112</v>
      </c>
      <c r="C77" s="425"/>
      <c r="D77" s="426"/>
      <c r="E77" s="426"/>
      <c r="F77" s="420"/>
      <c r="G77" s="264"/>
      <c r="H77" s="424"/>
      <c r="I77" s="230" t="s">
        <v>113</v>
      </c>
      <c r="J77" s="224"/>
      <c r="K77" s="225"/>
      <c r="L77" s="150"/>
      <c r="M77" s="2"/>
      <c r="N77"/>
      <c r="O77" s="2"/>
      <c r="P77" s="2"/>
      <c r="Q77" s="22"/>
      <c r="R77" s="2"/>
      <c r="S77" s="453"/>
      <c r="T77" s="453"/>
      <c r="U77" s="453"/>
      <c r="V77" s="453"/>
      <c r="W77" s="453"/>
      <c r="X77" s="453"/>
      <c r="Y77" s="453"/>
      <c r="Z77" s="453"/>
      <c r="AA77" s="453"/>
      <c r="AB77" s="453"/>
      <c r="AC77" s="453"/>
      <c r="AD77" s="453"/>
      <c r="AE77" s="453"/>
      <c r="AF77" s="453"/>
      <c r="AG77" s="453"/>
      <c r="AH77" s="453"/>
      <c r="AI77" s="453"/>
      <c r="AJ77" s="453"/>
      <c r="AK77" s="453"/>
      <c r="AL77" s="453"/>
      <c r="AM77" s="453"/>
      <c r="AN77" s="453"/>
      <c r="AO77" s="453"/>
      <c r="AP77" s="453"/>
    </row>
    <row r="78" spans="1:42" s="462" customFormat="1" ht="39.9" customHeight="1" x14ac:dyDescent="0.25">
      <c r="A78" s="231"/>
      <c r="B78" s="411" t="s">
        <v>114</v>
      </c>
      <c r="C78" s="411" t="s">
        <v>115</v>
      </c>
      <c r="D78" s="412" t="str">
        <f>IF(A58=20,IF($E$5*J78&lt;$K$5*K78,ROUND($E$5*J78,0),ROUND($K$5*K78,0)),"N/A")</f>
        <v>N/A</v>
      </c>
      <c r="E78" s="413" t="str">
        <f t="shared" si="12"/>
        <v>N/A</v>
      </c>
      <c r="F78" s="412" t="str">
        <f>IF(E78="N/A","N/A",G$38+MIN(H$38,G$24)+MIN(I$38,H$24)-D78)</f>
        <v>N/A</v>
      </c>
      <c r="G78" s="414" t="str">
        <f t="shared" si="11"/>
        <v>N/A</v>
      </c>
      <c r="H78" s="424"/>
      <c r="I78" s="230" t="s">
        <v>116</v>
      </c>
      <c r="J78" s="227">
        <v>0.4</v>
      </c>
      <c r="K78" s="225">
        <v>240000</v>
      </c>
      <c r="L78" s="149"/>
      <c r="M78" s="2"/>
      <c r="N78"/>
      <c r="O78" s="2"/>
      <c r="P78" s="5"/>
      <c r="Q78" s="5"/>
      <c r="R78" s="5"/>
      <c r="S78" s="453"/>
      <c r="T78" s="453"/>
      <c r="U78" s="453"/>
      <c r="V78" s="453"/>
      <c r="W78" s="453"/>
      <c r="X78" s="453"/>
      <c r="Y78" s="453"/>
      <c r="Z78" s="453"/>
      <c r="AA78" s="453"/>
      <c r="AB78" s="453"/>
      <c r="AC78" s="453"/>
      <c r="AD78" s="453"/>
      <c r="AE78" s="453"/>
      <c r="AF78" s="453"/>
      <c r="AG78" s="453"/>
      <c r="AH78" s="453"/>
      <c r="AI78" s="453"/>
      <c r="AJ78" s="453"/>
      <c r="AK78" s="453"/>
      <c r="AL78" s="453"/>
      <c r="AM78" s="453"/>
      <c r="AN78" s="453"/>
      <c r="AO78" s="453"/>
      <c r="AP78" s="453"/>
    </row>
    <row r="79" spans="1:42" s="462" customFormat="1" ht="39.9" customHeight="1" x14ac:dyDescent="0.25">
      <c r="A79" s="231"/>
      <c r="B79" s="411" t="s">
        <v>117</v>
      </c>
      <c r="C79" s="411" t="s">
        <v>118</v>
      </c>
      <c r="D79" s="412" t="str">
        <f>IF(A58=21,ROUND($K$5*K79,0),"N/A")</f>
        <v>N/A</v>
      </c>
      <c r="E79" s="413" t="str">
        <f t="shared" si="12"/>
        <v>N/A</v>
      </c>
      <c r="F79" s="412" t="str">
        <f>IF(E79="N/A","N/A",G$38+MIN(H$38,G$24)+MIN(I$38,H$24)-D79)</f>
        <v>N/A</v>
      </c>
      <c r="G79" s="414" t="str">
        <f t="shared" si="11"/>
        <v>N/A</v>
      </c>
      <c r="H79" s="427"/>
      <c r="I79" s="223"/>
      <c r="J79" s="224"/>
      <c r="K79" s="225">
        <v>240000</v>
      </c>
      <c r="L79" s="2"/>
      <c r="M79" s="2"/>
      <c r="N79"/>
      <c r="O79" s="2"/>
      <c r="P79" s="2"/>
      <c r="Q79" s="2"/>
      <c r="R79" s="2"/>
      <c r="S79" s="453"/>
      <c r="T79" s="453"/>
      <c r="U79" s="453"/>
      <c r="V79" s="453"/>
      <c r="W79" s="453"/>
      <c r="X79" s="453"/>
      <c r="Y79" s="453"/>
      <c r="Z79" s="453"/>
      <c r="AA79" s="453"/>
      <c r="AB79" s="453"/>
      <c r="AC79" s="453"/>
      <c r="AD79" s="453"/>
      <c r="AE79" s="453"/>
      <c r="AF79" s="453"/>
      <c r="AG79" s="453"/>
      <c r="AH79" s="453"/>
      <c r="AI79" s="453"/>
      <c r="AJ79" s="453"/>
      <c r="AK79" s="453"/>
      <c r="AL79" s="453"/>
      <c r="AM79" s="453"/>
      <c r="AN79" s="453"/>
      <c r="AO79" s="453"/>
      <c r="AP79" s="453"/>
    </row>
    <row r="80" spans="1:42" s="462" customFormat="1" ht="17.100000000000001" customHeight="1" x14ac:dyDescent="0.25">
      <c r="A80" s="2"/>
      <c r="B80" s="182"/>
      <c r="C80" s="182"/>
      <c r="D80" s="183"/>
      <c r="E80" s="4"/>
      <c r="F80" s="183"/>
      <c r="G80" s="5"/>
      <c r="H80" s="5"/>
      <c r="I80" s="2"/>
      <c r="J80" s="2"/>
      <c r="K80" s="2"/>
      <c r="L80" s="2"/>
      <c r="M80" s="2"/>
      <c r="N80"/>
      <c r="O80" s="2"/>
      <c r="P80" s="2"/>
      <c r="Q80" s="2"/>
      <c r="R80" s="2"/>
      <c r="S80" s="453"/>
      <c r="T80" s="453"/>
      <c r="U80" s="453"/>
      <c r="V80" s="453"/>
      <c r="W80" s="453"/>
      <c r="X80" s="453"/>
      <c r="Y80" s="453"/>
      <c r="Z80" s="453"/>
      <c r="AA80" s="453"/>
      <c r="AB80" s="453"/>
      <c r="AC80" s="453"/>
      <c r="AD80" s="453"/>
      <c r="AE80" s="453"/>
      <c r="AF80" s="453"/>
      <c r="AG80" s="453"/>
      <c r="AH80" s="453"/>
      <c r="AI80" s="453"/>
      <c r="AJ80" s="453"/>
      <c r="AK80" s="453"/>
      <c r="AL80" s="453"/>
      <c r="AM80" s="453"/>
      <c r="AN80" s="453"/>
      <c r="AO80" s="453"/>
      <c r="AP80" s="453"/>
    </row>
    <row r="81" spans="1:45" s="459" customFormat="1" ht="30" customHeight="1" x14ac:dyDescent="0.25">
      <c r="A81" s="56" t="s">
        <v>119</v>
      </c>
      <c r="B81" s="27"/>
      <c r="C81" s="28"/>
      <c r="D81" s="29"/>
      <c r="E81" s="30"/>
      <c r="F81" s="29"/>
      <c r="G81" s="31"/>
      <c r="H81" s="31"/>
      <c r="I81" s="31"/>
      <c r="J81" s="31"/>
      <c r="K81" s="31"/>
      <c r="L81" s="31"/>
      <c r="M81" s="31"/>
      <c r="N81"/>
      <c r="O81" s="31"/>
      <c r="P81" s="31"/>
      <c r="Q81" s="31"/>
      <c r="R81" s="31"/>
    </row>
    <row r="82" spans="1:45" s="464" customFormat="1" ht="30" customHeight="1" x14ac:dyDescent="0.25">
      <c r="A82" s="531" t="s">
        <v>120</v>
      </c>
      <c r="B82" s="528"/>
      <c r="C82" s="529" t="s">
        <v>121</v>
      </c>
      <c r="D82" s="529"/>
      <c r="E82" s="530"/>
      <c r="F82" s="511" t="s">
        <v>122</v>
      </c>
      <c r="G82" s="511"/>
      <c r="H82" s="511"/>
      <c r="I82" s="508" t="s">
        <v>123</v>
      </c>
      <c r="J82" s="509"/>
      <c r="K82" s="510"/>
      <c r="L82" s="24"/>
      <c r="M82" s="24"/>
      <c r="N82"/>
      <c r="O82" s="24"/>
      <c r="P82" s="24"/>
      <c r="Q82" s="24"/>
      <c r="R82" s="24"/>
      <c r="S82" s="463"/>
      <c r="T82" s="463"/>
      <c r="U82" s="463"/>
      <c r="V82" s="463"/>
      <c r="W82" s="463"/>
      <c r="X82" s="463"/>
      <c r="Y82" s="463"/>
      <c r="Z82" s="463"/>
      <c r="AA82" s="463"/>
      <c r="AB82" s="463"/>
      <c r="AC82" s="463"/>
      <c r="AD82" s="463"/>
      <c r="AE82" s="463"/>
      <c r="AF82" s="463"/>
      <c r="AG82" s="463"/>
      <c r="AH82" s="463"/>
      <c r="AI82" s="463"/>
      <c r="AJ82" s="463"/>
      <c r="AK82" s="463"/>
      <c r="AL82" s="463"/>
      <c r="AM82" s="463"/>
      <c r="AN82" s="463"/>
      <c r="AO82" s="463"/>
      <c r="AP82" s="463"/>
      <c r="AQ82" s="463"/>
      <c r="AR82" s="463"/>
      <c r="AS82" s="463"/>
    </row>
    <row r="83" spans="1:45" s="461" customFormat="1" ht="52.5" customHeight="1" x14ac:dyDescent="0.25">
      <c r="A83" s="527" t="s">
        <v>70</v>
      </c>
      <c r="B83" s="528"/>
      <c r="C83" s="428" t="s">
        <v>124</v>
      </c>
      <c r="D83" s="429" t="s">
        <v>125</v>
      </c>
      <c r="E83" s="430" t="s">
        <v>126</v>
      </c>
      <c r="F83" s="431" t="s">
        <v>127</v>
      </c>
      <c r="G83" s="432" t="s">
        <v>125</v>
      </c>
      <c r="H83" s="432" t="s">
        <v>126</v>
      </c>
      <c r="I83" s="433" t="s">
        <v>128</v>
      </c>
      <c r="J83" s="434" t="s">
        <v>125</v>
      </c>
      <c r="K83" s="434" t="s">
        <v>126</v>
      </c>
      <c r="L83" s="39"/>
      <c r="M83" s="213"/>
      <c r="N83"/>
      <c r="O83" s="39"/>
      <c r="P83" s="39"/>
      <c r="Q83" s="39"/>
      <c r="R83" s="39"/>
      <c r="S83" s="454"/>
      <c r="T83" s="454"/>
      <c r="U83" s="454"/>
      <c r="V83" s="454"/>
      <c r="W83" s="454"/>
      <c r="X83" s="454"/>
      <c r="Y83" s="454"/>
      <c r="Z83" s="454"/>
      <c r="AA83" s="454"/>
      <c r="AB83" s="454"/>
      <c r="AC83" s="454"/>
      <c r="AD83" s="454"/>
      <c r="AE83" s="454"/>
      <c r="AF83" s="454"/>
      <c r="AG83" s="454"/>
      <c r="AH83" s="454"/>
      <c r="AI83" s="454"/>
      <c r="AJ83" s="454"/>
      <c r="AK83" s="454"/>
      <c r="AL83" s="454"/>
      <c r="AM83" s="454"/>
      <c r="AN83" s="454"/>
    </row>
    <row r="84" spans="1:45" ht="47.4" customHeight="1" x14ac:dyDescent="0.25">
      <c r="A84" s="435" t="s">
        <v>129</v>
      </c>
      <c r="B84" s="436" t="s">
        <v>130</v>
      </c>
      <c r="C84" s="412" t="str">
        <f>IF(AND($E$10&lt;&gt;"Yes",$E$24&gt;0),ROUND(F8*$E$5,0),"N/A")</f>
        <v>N/A</v>
      </c>
      <c r="D84" s="413" t="str">
        <f>IF(C84="N/A","N/A",IF($E$24&gt;C84,"No","Yes"))</f>
        <v>N/A</v>
      </c>
      <c r="E84" s="412" t="str">
        <f>IF(D84="No",$E$24-C84,"N/A")</f>
        <v>N/A</v>
      </c>
      <c r="F84" s="412" t="str">
        <f>IF(AND($E$10&lt;&gt;"Yes",$E$24&gt;0),ROUND(F8*$E$5,0),"N/A")</f>
        <v>N/A</v>
      </c>
      <c r="G84" s="413" t="str">
        <f>IF($E$10="No",IF($E$24&gt;F84,"No","Yes"),"N/A")</f>
        <v>N/A</v>
      </c>
      <c r="H84" s="412" t="str">
        <f>IF(G84="No",$E$24-F84,"N/A")</f>
        <v>N/A</v>
      </c>
      <c r="I84" s="437"/>
      <c r="J84" s="438"/>
      <c r="K84" s="439"/>
      <c r="L84" s="1"/>
      <c r="M84" s="3"/>
      <c r="N84"/>
      <c r="O84" s="1"/>
      <c r="P84" s="1"/>
      <c r="Q84" s="1"/>
      <c r="R84" s="1"/>
      <c r="AO84" s="450"/>
      <c r="AP84" s="450"/>
      <c r="AQ84" s="450"/>
      <c r="AR84" s="450"/>
      <c r="AS84" s="450"/>
    </row>
    <row r="85" spans="1:45" ht="60" customHeight="1" x14ac:dyDescent="0.25">
      <c r="A85" s="357" t="str">
        <f>I76</f>
        <v>English Regional Production Bonus</v>
      </c>
      <c r="B85" s="358" t="s">
        <v>131</v>
      </c>
      <c r="C85" s="412" t="str">
        <f>IF(AND($I$58=2,E10="Yes"),MIN(N(F85)+N(I85),ROUND(0.84*$E$5,0)),"N/A")</f>
        <v>N/A</v>
      </c>
      <c r="D85" s="413" t="str">
        <f>IF(AND($I$58=2,E10="Yes"),
IF(OR($E$24+$E$25&gt;C85,G85="No",J85="No"),"No","Yes"),"N/A")</f>
        <v>N/A</v>
      </c>
      <c r="E85" s="412" t="str">
        <f>IF(D85="No",MAX($E$24+$E$25-N(C85),N(H85)+N(K85)),"N/A")</f>
        <v>N/A</v>
      </c>
      <c r="F85" s="412" t="str">
        <f>IF(AND($I$58=2,E$10="Yes"),IF($E$24&gt;0,ROUND(F$8*$E$5,0),"N/A"),"N/A")</f>
        <v>N/A</v>
      </c>
      <c r="G85" s="413" t="str">
        <f>IF(F85="N/A","N/A",IF($E$24&gt;F85,"No","Yes"))</f>
        <v>N/A</v>
      </c>
      <c r="H85" s="412" t="str">
        <f>IF(G85="No",$E$24-F85,"N/A")</f>
        <v>N/A</v>
      </c>
      <c r="I85" s="412" t="str">
        <f>IF(AND($I$58=2,E10="Yes"),MIN(ROUND(0.15*$E$5,0),1000000),"N/A")</f>
        <v>N/A</v>
      </c>
      <c r="J85" s="413" t="str">
        <f>IF(I85="N/A","N/A",IF($E$11&gt;I85,"No","Yes"))</f>
        <v>N/A</v>
      </c>
      <c r="K85" s="412" t="str">
        <f>IF(J85="No",$E$25-I85,"N/A")</f>
        <v>N/A</v>
      </c>
      <c r="L85" s="1"/>
      <c r="M85" s="3"/>
      <c r="N85"/>
      <c r="O85" s="1"/>
      <c r="P85" s="1"/>
      <c r="Q85" s="1"/>
      <c r="R85" s="1"/>
      <c r="AO85" s="450"/>
      <c r="AP85" s="450"/>
      <c r="AQ85" s="450"/>
      <c r="AR85" s="450"/>
      <c r="AS85" s="450"/>
    </row>
    <row r="86" spans="1:45" ht="55.2" hidden="1" customHeight="1" x14ac:dyDescent="0.25">
      <c r="A86" s="357" t="str">
        <f>I78</f>
        <v>Anglophone Minority Incentive</v>
      </c>
      <c r="B86" s="358" t="s">
        <v>132</v>
      </c>
      <c r="C86" s="412" t="str">
        <f>IF(AND($I$58=4,E11="Yes"),MIN(F86+I86,ROUND(0.84*$E$5,0)),"N/A")</f>
        <v>N/A</v>
      </c>
      <c r="D86" s="413" t="str">
        <f t="shared" ref="D86" si="14">IF(C86="N/A","N/A",IF(OR($E$25&gt;I86, $E$24&gt;F86),"No","Yes"))</f>
        <v>N/A</v>
      </c>
      <c r="E86" s="412" t="str">
        <f t="shared" ref="E86" si="15">IF(D86="No",MAX($E$24+$E$25-N(C86),N(H86)+N(K86)),"N/A")</f>
        <v>N/A</v>
      </c>
      <c r="F86" s="412" t="str">
        <f>IF(AND($I$58=4,E11="Yes"),IF($E$24&gt;0,ROUND(F9*$E$5,0),0),"N/A")</f>
        <v>N/A</v>
      </c>
      <c r="G86" s="413" t="str">
        <f t="shared" ref="G86:G87" si="16">IF(F86="N/A","N/A",IF($E$24&gt;F86,"No","Yes"))</f>
        <v>N/A</v>
      </c>
      <c r="H86" s="412" t="str">
        <f t="shared" ref="H86:H87" si="17">IF(G86="No",$E$24-F86,"N/A")</f>
        <v>N/A</v>
      </c>
      <c r="I86" s="412" t="str">
        <f>IF(AND($I$58=4,E11="Yes"),IF(A$58&lt;&gt;15,MIN(ROUND(#REF!*$E$5,0),900000),MIN(ROUND(#REF!*$E$5,0),600000)),"N/A")</f>
        <v>N/A</v>
      </c>
      <c r="J86" s="413" t="str">
        <f>IF(I86="N/A","N/A",IF($E$11&gt;I86,"No","Yes"))</f>
        <v>N/A</v>
      </c>
      <c r="K86" s="412" t="str">
        <f t="shared" ref="K86:K87" si="18">IF(J86="No",$E$25-I86,"N/A")</f>
        <v>N/A</v>
      </c>
      <c r="L86" s="2"/>
      <c r="M86" s="3"/>
      <c r="N86"/>
      <c r="O86" s="1"/>
      <c r="P86" s="1"/>
      <c r="Q86" s="1"/>
      <c r="R86" s="1"/>
      <c r="AO86" s="450"/>
      <c r="AP86" s="450"/>
      <c r="AQ86" s="450"/>
      <c r="AR86" s="450"/>
      <c r="AS86" s="450"/>
    </row>
    <row r="87" spans="1:45" ht="60" customHeight="1" x14ac:dyDescent="0.25">
      <c r="A87" s="357" t="str">
        <f>I77</f>
        <v>Northern Production Incentive</v>
      </c>
      <c r="B87" s="358" t="s">
        <v>133</v>
      </c>
      <c r="C87" s="412" t="str">
        <f>IF(AND($I$58=3,E$10="Yes"),MIN(N(F87)+N(I87),ROUND(0.84*$E$5,0)),"N/A")</f>
        <v>N/A</v>
      </c>
      <c r="D87" s="413" t="str">
        <f>IF(AND($I$58=3,E$10="Yes"),
IF(OR($E$24+$E$25&gt;C87,G87="No",J87="No"),"No","Yes"),"N/A")</f>
        <v>N/A</v>
      </c>
      <c r="E87" s="412" t="str">
        <f>IF(D87="No",MAX($E$24+$E$25-N(C87),N(H87)+N(K87)),"N/A")</f>
        <v>N/A</v>
      </c>
      <c r="F87" s="412" t="str">
        <f>IF(AND($I$58=3,E$10="Yes"),IF($E$24&gt;0,ROUND(F$8*$E$5,0),"N/A"),"N/A")</f>
        <v>N/A</v>
      </c>
      <c r="G87" s="413" t="str">
        <f t="shared" si="16"/>
        <v>N/A</v>
      </c>
      <c r="H87" s="412" t="str">
        <f t="shared" si="17"/>
        <v>N/A</v>
      </c>
      <c r="I87" s="412" t="str">
        <f>IF(AND($I$58=3,E10="Yes"),MIN(ROUND(0.3*$E$5,0),200000),"N/A")</f>
        <v>N/A</v>
      </c>
      <c r="J87" s="413" t="str">
        <f>IF(I87="N/A","N/A",IF($E$11&gt;I87,"No","Yes"))</f>
        <v>N/A</v>
      </c>
      <c r="K87" s="412" t="str">
        <f t="shared" si="18"/>
        <v>N/A</v>
      </c>
      <c r="L87" s="1"/>
      <c r="M87" s="1"/>
      <c r="N87"/>
      <c r="O87" s="1"/>
      <c r="P87" s="1"/>
      <c r="Q87" s="1"/>
      <c r="R87" s="1"/>
      <c r="AQ87" s="446"/>
      <c r="AR87" s="450"/>
      <c r="AS87" s="450"/>
    </row>
    <row r="88" spans="1:45" x14ac:dyDescent="0.25">
      <c r="A88" s="386"/>
      <c r="B88" s="440"/>
      <c r="C88" s="386"/>
      <c r="D88" s="386"/>
      <c r="E88" s="386"/>
      <c r="F88" s="386"/>
      <c r="G88" s="386"/>
      <c r="H88" s="386"/>
      <c r="I88" s="386"/>
      <c r="J88" s="386"/>
      <c r="K88" s="386"/>
      <c r="L88" s="1"/>
      <c r="M88" s="1"/>
      <c r="N88"/>
      <c r="O88" s="1"/>
      <c r="P88" s="1"/>
      <c r="Q88" s="1"/>
      <c r="R88" s="1"/>
      <c r="AQ88" s="450"/>
      <c r="AR88" s="450"/>
      <c r="AS88" s="450"/>
    </row>
    <row r="89" spans="1:45" s="452" customFormat="1" x14ac:dyDescent="0.25">
      <c r="A89" s="441"/>
      <c r="B89" s="442"/>
      <c r="C89" s="443"/>
      <c r="D89" s="444"/>
      <c r="E89" s="443"/>
      <c r="F89" s="445"/>
      <c r="G89" s="443"/>
      <c r="H89" s="443"/>
      <c r="I89" s="443"/>
      <c r="J89" s="443"/>
      <c r="K89" s="443"/>
      <c r="L89" s="151"/>
      <c r="M89" s="151"/>
      <c r="N89"/>
      <c r="O89" s="151"/>
      <c r="P89" s="151"/>
      <c r="Q89" s="151"/>
      <c r="R89" s="151"/>
      <c r="S89" s="465"/>
      <c r="T89" s="465"/>
      <c r="U89" s="465"/>
      <c r="V89" s="465"/>
      <c r="W89" s="465"/>
      <c r="X89" s="465"/>
      <c r="Y89" s="465"/>
      <c r="Z89" s="465"/>
      <c r="AA89" s="465"/>
      <c r="AB89" s="465"/>
      <c r="AC89" s="465"/>
      <c r="AD89" s="465"/>
      <c r="AE89" s="465"/>
      <c r="AF89" s="465"/>
      <c r="AG89" s="465"/>
      <c r="AH89" s="465"/>
      <c r="AI89" s="465"/>
      <c r="AJ89" s="465"/>
      <c r="AK89" s="465"/>
      <c r="AL89" s="465"/>
      <c r="AM89" s="465"/>
      <c r="AN89" s="465"/>
      <c r="AO89" s="465"/>
      <c r="AP89" s="465"/>
      <c r="AQ89" s="451"/>
      <c r="AR89" s="451"/>
      <c r="AS89" s="451"/>
    </row>
    <row r="90" spans="1:45" x14ac:dyDescent="0.25">
      <c r="A90" s="386"/>
      <c r="B90" s="440"/>
      <c r="C90" s="386"/>
      <c r="D90" s="444"/>
      <c r="E90" s="386"/>
      <c r="F90" s="386"/>
      <c r="G90" s="386"/>
      <c r="H90" s="386"/>
      <c r="I90" s="386"/>
      <c r="J90" s="386"/>
      <c r="K90" s="386"/>
      <c r="L90" s="1"/>
      <c r="M90" s="1"/>
      <c r="N90"/>
      <c r="O90" s="1"/>
      <c r="P90" s="1"/>
      <c r="Q90" s="1"/>
      <c r="R90" s="1"/>
      <c r="AQ90" s="450"/>
      <c r="AR90" s="450"/>
      <c r="AS90" s="450"/>
    </row>
    <row r="91" spans="1:45" x14ac:dyDescent="0.25">
      <c r="A91" s="386"/>
      <c r="B91" s="440"/>
      <c r="C91" s="444"/>
      <c r="D91" s="444"/>
      <c r="E91" s="444"/>
      <c r="F91" s="444"/>
      <c r="G91" s="444"/>
      <c r="H91" s="444"/>
      <c r="I91" s="444"/>
      <c r="J91" s="444"/>
      <c r="K91" s="444"/>
      <c r="L91" s="1"/>
      <c r="M91" s="1"/>
      <c r="N91"/>
      <c r="O91" s="1"/>
      <c r="P91" s="1"/>
      <c r="Q91" s="1"/>
      <c r="R91" s="1"/>
      <c r="AQ91" s="450"/>
      <c r="AR91" s="450"/>
      <c r="AS91" s="450"/>
    </row>
    <row r="92" spans="1:45" x14ac:dyDescent="0.25">
      <c r="A92" s="1"/>
      <c r="B92" s="3"/>
      <c r="C92" s="1"/>
      <c r="D92" s="1"/>
      <c r="E92" s="152"/>
      <c r="F92" s="159"/>
      <c r="G92" s="1"/>
      <c r="H92" s="1"/>
      <c r="I92" s="1"/>
      <c r="J92" s="1"/>
      <c r="K92" s="1"/>
      <c r="L92" s="1"/>
      <c r="M92" s="1"/>
      <c r="N92"/>
      <c r="O92" s="1"/>
      <c r="P92" s="1"/>
      <c r="Q92" s="1"/>
      <c r="R92" s="1"/>
      <c r="AQ92" s="450"/>
      <c r="AR92" s="450"/>
      <c r="AS92" s="450"/>
    </row>
    <row r="93" spans="1:45" x14ac:dyDescent="0.25">
      <c r="A93" s="1"/>
      <c r="B93" s="3"/>
      <c r="C93" s="1"/>
      <c r="D93" s="1"/>
      <c r="E93" s="152"/>
      <c r="F93" s="1"/>
      <c r="G93" s="1"/>
      <c r="H93" s="1"/>
      <c r="I93" s="1"/>
      <c r="J93" s="1"/>
      <c r="K93" s="1"/>
      <c r="L93" s="1"/>
      <c r="M93" s="1"/>
      <c r="N93"/>
      <c r="O93" s="1"/>
      <c r="P93" s="1"/>
      <c r="Q93" s="1"/>
      <c r="R93" s="1"/>
      <c r="AQ93" s="450"/>
      <c r="AR93" s="450"/>
      <c r="AS93" s="450"/>
    </row>
    <row r="94" spans="1:45" x14ac:dyDescent="0.25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/>
      <c r="O94" s="1"/>
      <c r="P94" s="1"/>
      <c r="Q94" s="1"/>
      <c r="R94" s="1"/>
      <c r="AQ94" s="450"/>
      <c r="AR94" s="450"/>
      <c r="AS94" s="450"/>
    </row>
    <row r="95" spans="1:45" x14ac:dyDescent="0.25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/>
      <c r="O95" s="1"/>
      <c r="P95" s="1"/>
      <c r="Q95" s="1"/>
      <c r="R95" s="1"/>
      <c r="AQ95" s="450"/>
      <c r="AR95" s="450"/>
      <c r="AS95" s="450"/>
    </row>
    <row r="96" spans="1:45" x14ac:dyDescent="0.25">
      <c r="A96" s="1"/>
      <c r="B96" s="192"/>
      <c r="C96" s="194"/>
      <c r="D96" s="1"/>
      <c r="E96" s="1"/>
      <c r="F96" s="1"/>
      <c r="G96" s="1"/>
      <c r="H96" s="1"/>
      <c r="I96" s="1"/>
      <c r="J96" s="1"/>
      <c r="K96" s="1"/>
      <c r="L96" s="1"/>
      <c r="M96" s="1"/>
      <c r="N96"/>
      <c r="O96" s="1"/>
      <c r="P96" s="1"/>
      <c r="Q96" s="1"/>
      <c r="R96" s="1"/>
      <c r="AQ96" s="450"/>
      <c r="AR96" s="450"/>
      <c r="AS96" s="450"/>
    </row>
    <row r="97" spans="1:18" x14ac:dyDescent="0.25">
      <c r="A97" s="1"/>
      <c r="B97" s="19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/>
      <c r="O97" s="1"/>
      <c r="P97" s="1"/>
      <c r="Q97" s="1"/>
      <c r="R97" s="1"/>
    </row>
    <row r="98" spans="1:18" x14ac:dyDescent="0.25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/>
      <c r="O98" s="1"/>
      <c r="P98" s="1"/>
      <c r="Q98" s="1"/>
      <c r="R98" s="1"/>
    </row>
    <row r="99" spans="1:18" x14ac:dyDescent="0.25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/>
      <c r="O99" s="1"/>
      <c r="P99" s="1"/>
      <c r="Q99" s="1"/>
      <c r="R99" s="1"/>
    </row>
    <row r="100" spans="1:18" x14ac:dyDescent="0.25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/>
      <c r="O100" s="1"/>
      <c r="P100" s="1"/>
      <c r="Q100" s="1"/>
      <c r="R100" s="1"/>
    </row>
  </sheetData>
  <sheetProtection algorithmName="SHA-512" hashValue="/cJcnw1A3yiDpHANzK4r+lsF+qd5K0COiAIZ9Mx+ffIRfmD8W90kMlhETasLPtt5jmYK7RVmh0fApyTKrptbYA==" saltValue="oW+1kCe8vDHeVDq171Yk6Q==" spinCount="100000" sheet="1" objects="1" scenarios="1"/>
  <mergeCells count="27">
    <mergeCell ref="A83:B83"/>
    <mergeCell ref="C82:E82"/>
    <mergeCell ref="A82:B82"/>
    <mergeCell ref="I44:J44"/>
    <mergeCell ref="A13:B13"/>
    <mergeCell ref="A27:A28"/>
    <mergeCell ref="C25:D25"/>
    <mergeCell ref="B59:C59"/>
    <mergeCell ref="B27:M28"/>
    <mergeCell ref="A17:B17"/>
    <mergeCell ref="H30:I30"/>
    <mergeCell ref="A40:E40"/>
    <mergeCell ref="G57:H57"/>
    <mergeCell ref="A31:B31"/>
    <mergeCell ref="C1:K1"/>
    <mergeCell ref="I82:K82"/>
    <mergeCell ref="F82:H82"/>
    <mergeCell ref="C10:D10"/>
    <mergeCell ref="B2:D2"/>
    <mergeCell ref="I2:J2"/>
    <mergeCell ref="C8:D8"/>
    <mergeCell ref="F2:H2"/>
    <mergeCell ref="C5:D5"/>
    <mergeCell ref="C39:D39"/>
    <mergeCell ref="I10:J10"/>
    <mergeCell ref="A30:G30"/>
    <mergeCell ref="I11:J11"/>
  </mergeCells>
  <phoneticPr fontId="0" type="noConversion"/>
  <conditionalFormatting sqref="D84:D87 G84:G87 J85:J87">
    <cfRule type="containsText" dxfId="11" priority="30" operator="containsText" text="No">
      <formula>NOT(ISERROR(SEARCH("No",D84)))</formula>
    </cfRule>
  </conditionalFormatting>
  <conditionalFormatting sqref="E60:E63 E65:E68 E70:E76 E78:E79">
    <cfRule type="containsText" dxfId="10" priority="27" operator="containsText" text="No">
      <formula>NOT(ISERROR(SEARCH("No",E60)))</formula>
    </cfRule>
  </conditionalFormatting>
  <conditionalFormatting sqref="G57">
    <cfRule type="containsText" dxfId="9" priority="1" operator="containsText" text="(4) The indicated Market Contribution exceeds the Maximal Market Contribution.">
      <formula>NOT(ISERROR(SEARCH("(4) The indicated Market Contribution exceeds the Maximal Market Contribution.",G57)))</formula>
    </cfRule>
  </conditionalFormatting>
  <conditionalFormatting sqref="H40:I40">
    <cfRule type="expression" dxfId="8" priority="74">
      <formula>$I$40&lt;&gt;""</formula>
    </cfRule>
  </conditionalFormatting>
  <dataValidations xWindow="812" yWindow="326" count="13">
    <dataValidation type="date" allowBlank="1" showInputMessage="1" showErrorMessage="1" promptTitle="Date" prompt="ex. Y-M-D" sqref="I18:I23" xr:uid="{00000000-0002-0000-0000-000000000000}">
      <formula1>36526</formula1>
      <formula2>401749</formula2>
    </dataValidation>
    <dataValidation type="decimal" allowBlank="1" showErrorMessage="1" errorTitle="Not a number" error="Enter the Envelope Contribution for this licence" sqref="E23 E20:E21" xr:uid="{00000000-0002-0000-0000-000001000000}">
      <formula1>0</formula1>
      <formula2>999999999999999</formula2>
    </dataValidation>
    <dataValidation type="whole" allowBlank="1" showInputMessage="1" showErrorMessage="1" promptTitle="# of months" prompt="Enter the licence term in months. Equations are allowable (i.e. =6*12)" sqref="K18:K23" xr:uid="{00000000-0002-0000-0000-000002000000}">
      <formula1>1</formula1>
      <formula2>999</formula2>
    </dataValidation>
    <dataValidation type="whole" allowBlank="1" showInputMessage="1" showErrorMessage="1" errorTitle="Not a number" error="Enter the Envelope Contribution for this licence" sqref="E32:E38" xr:uid="{00000000-0002-0000-0000-000003000000}">
      <formula1>0</formula1>
      <formula2>999999999999999</formula2>
    </dataValidation>
    <dataValidation allowBlank="1" showInputMessage="1" showErrorMessage="1" promptTitle="# of Months" prompt="Enter adjusted exclusivity in &quot;number of months&quot;." sqref="P32:P37" xr:uid="{00000000-0002-0000-0000-000004000000}"/>
    <dataValidation type="whole" allowBlank="1" showInputMessage="1" showErrorMessage="1" sqref="L18:L23" xr:uid="{00000000-0002-0000-0000-000005000000}">
      <formula1>0</formula1>
      <formula2>999</formula2>
    </dataValidation>
    <dataValidation type="list" allowBlank="1" showInputMessage="1" showErrorMessage="1" sqref="E9" xr:uid="{BB589294-0920-42BA-A1B4-E5DDC508F6B3}">
      <formula1>#REF!</formula1>
    </dataValidation>
    <dataValidation type="list" allowBlank="1" showInputMessage="1" showErrorMessage="1" sqref="E10" xr:uid="{618AB267-3499-41C8-A0DE-C87FCCFEB378}">
      <formula1>$I$70:$I$72</formula1>
    </dataValidation>
    <dataValidation type="list" allowBlank="1" showInputMessage="1" showErrorMessage="1" sqref="E8" xr:uid="{714CF030-BA11-4DD1-B7D0-F3D080355B78}">
      <formula1>$I$73:$I$75</formula1>
    </dataValidation>
    <dataValidation type="decimal" allowBlank="1" showInputMessage="1" showErrorMessage="1" errorTitle="Not a number" error="Enter the Envelope Contribution for this licence" sqref="E18:F19 H19" xr:uid="{940749EE-11DF-4D32-ABD5-E27EE57641A2}">
      <formula1>0</formula1>
      <formula2>999999999999999</formula2>
    </dataValidation>
    <dataValidation allowBlank="1" showInputMessage="1" showErrorMessage="1" prompt="Please enter first the broadcasters, see note (1) here-above" sqref="G18:H18" xr:uid="{E7BE6308-EAEF-41BA-9DAA-E5B88E12CD2B}"/>
    <dataValidation allowBlank="1" showInputMessage="1" showErrorMessage="1" promptTitle="Intl. Entity MMC" prompt="For C&amp;Y the ELF and MMC must be at least 75% of Threshold. Also see note (3)." sqref="I40" xr:uid="{0A618FB4-07D5-4C3E-9920-DA14577B1474}"/>
    <dataValidation type="custom" showInputMessage="1" showErrorMessage="1" error="Please do not delete" sqref="A58 I58" xr:uid="{A7F14F94-11BB-4D73-B7BD-8BE819099168}">
      <formula1>""</formula1>
    </dataValidation>
  </dataValidations>
  <printOptions horizontalCentered="1"/>
  <pageMargins left="0.6692913385826772" right="0.6692913385826772" top="0.59055118110236227" bottom="0.6692913385826772" header="0.51181102362204722" footer="0.51181102362204722"/>
  <pageSetup scale="64" orientation="landscape" r:id="rId1"/>
  <headerFooter alignWithMargins="0">
    <oddFooter>&amp;C&amp;P</odd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1" r:id="rId4" name="Drop Down 57">
              <controlPr locked="0" defaultSize="0" autoLine="0" autoPict="0">
                <anchor moveWithCells="1">
                  <from>
                    <xdr:col>2</xdr:col>
                    <xdr:colOff>83820</xdr:colOff>
                    <xdr:row>12</xdr:row>
                    <xdr:rowOff>38100</xdr:rowOff>
                  </from>
                  <to>
                    <xdr:col>6</xdr:col>
                    <xdr:colOff>403860</xdr:colOff>
                    <xdr:row>12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" name="Drop Down 76">
              <controlPr locked="0" defaultSize="0" autoLine="0" autoPict="0">
                <anchor moveWithCells="1">
                  <from>
                    <xdr:col>1</xdr:col>
                    <xdr:colOff>1135380</xdr:colOff>
                    <xdr:row>10</xdr:row>
                    <xdr:rowOff>38100</xdr:rowOff>
                  </from>
                  <to>
                    <xdr:col>3</xdr:col>
                    <xdr:colOff>960120</xdr:colOff>
                    <xdr:row>10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16CC8-A47E-4AE2-AD4A-6504B30FD9E5}">
  <sheetPr codeName="Feuil2">
    <tabColor rgb="FF00B0F0"/>
  </sheetPr>
  <dimension ref="A1:AR217"/>
  <sheetViews>
    <sheetView tabSelected="1" zoomScaleNormal="100" zoomScaleSheetLayoutView="100" workbookViewId="0">
      <selection activeCell="I19" sqref="I19"/>
    </sheetView>
  </sheetViews>
  <sheetFormatPr baseColWidth="10" defaultColWidth="8.90625" defaultRowHeight="13.8" x14ac:dyDescent="0.3"/>
  <cols>
    <col min="1" max="1" width="13.81640625" style="132" customWidth="1"/>
    <col min="2" max="2" width="18.81640625" style="491" customWidth="1"/>
    <col min="3" max="8" width="13.81640625" style="132" customWidth="1"/>
    <col min="9" max="13" width="12.81640625" style="132" customWidth="1"/>
    <col min="14" max="14" width="9.6328125" style="132" customWidth="1"/>
    <col min="15" max="15" width="10.81640625" style="132" hidden="1" customWidth="1"/>
    <col min="16" max="16" width="11.36328125" style="132" hidden="1" customWidth="1"/>
    <col min="17" max="17" width="8.90625" style="132" hidden="1" customWidth="1"/>
    <col min="18" max="42" width="8.90625" style="132"/>
    <col min="43" max="16384" width="8.90625" style="480"/>
  </cols>
  <sheetData>
    <row r="1" spans="1:44" ht="77.25" customHeight="1" thickBot="1" x14ac:dyDescent="0.35">
      <c r="A1" s="142"/>
      <c r="B1" s="71"/>
      <c r="C1" s="556" t="s">
        <v>134</v>
      </c>
      <c r="D1" s="556"/>
      <c r="E1" s="556"/>
      <c r="F1" s="556"/>
      <c r="G1" s="556"/>
      <c r="H1" s="556"/>
      <c r="I1" s="556"/>
      <c r="J1" s="556"/>
      <c r="K1" s="556"/>
      <c r="L1" s="72"/>
      <c r="M1" s="72"/>
      <c r="N1" s="72"/>
      <c r="O1" s="72"/>
      <c r="P1" s="72"/>
      <c r="Q1" s="71"/>
      <c r="R1" s="70"/>
    </row>
    <row r="2" spans="1:44" s="482" customFormat="1" ht="32.1" customHeight="1" thickBot="1" x14ac:dyDescent="0.3">
      <c r="A2" s="141" t="s">
        <v>135</v>
      </c>
      <c r="B2" s="557"/>
      <c r="C2" s="558"/>
      <c r="D2" s="558"/>
      <c r="E2" s="559"/>
      <c r="F2" s="140" t="s">
        <v>136</v>
      </c>
      <c r="G2" s="557"/>
      <c r="H2" s="561"/>
      <c r="I2" s="140" t="s">
        <v>137</v>
      </c>
      <c r="J2" s="560"/>
      <c r="K2" s="561"/>
      <c r="L2" s="72"/>
      <c r="M2" s="72"/>
      <c r="N2" s="72"/>
      <c r="O2" s="72"/>
      <c r="P2" s="72"/>
      <c r="Q2" s="72"/>
      <c r="R2" s="72"/>
      <c r="S2" s="481"/>
      <c r="T2" s="481"/>
      <c r="U2" s="481"/>
      <c r="V2" s="481"/>
      <c r="W2" s="481"/>
      <c r="X2" s="481"/>
      <c r="Y2" s="481"/>
      <c r="Z2" s="481"/>
      <c r="AA2" s="481"/>
      <c r="AB2" s="481"/>
      <c r="AC2" s="481"/>
      <c r="AD2" s="481"/>
      <c r="AE2" s="481"/>
      <c r="AF2" s="481"/>
      <c r="AG2" s="481"/>
      <c r="AH2" s="481"/>
      <c r="AI2" s="481"/>
      <c r="AJ2" s="481"/>
      <c r="AK2" s="481"/>
      <c r="AL2" s="481"/>
      <c r="AM2" s="481"/>
      <c r="AN2" s="481"/>
    </row>
    <row r="3" spans="1:44" s="482" customFormat="1" ht="24.75" customHeight="1" x14ac:dyDescent="0.25">
      <c r="A3" s="139" t="s">
        <v>138</v>
      </c>
      <c r="B3" s="75"/>
      <c r="C3" s="136"/>
      <c r="D3" s="110"/>
      <c r="E3" s="79"/>
      <c r="F3" s="79"/>
      <c r="G3" s="138"/>
      <c r="H3" s="79"/>
      <c r="I3" s="79"/>
      <c r="J3" s="99"/>
      <c r="K3" s="99"/>
      <c r="L3" s="72"/>
      <c r="M3" s="72"/>
      <c r="N3" s="72"/>
      <c r="O3" s="72"/>
      <c r="P3" s="72"/>
      <c r="Q3" s="72"/>
      <c r="R3" s="72"/>
      <c r="S3" s="481"/>
      <c r="T3" s="481"/>
      <c r="U3" s="481"/>
      <c r="V3" s="481"/>
      <c r="W3" s="481"/>
      <c r="X3" s="481"/>
      <c r="Y3" s="481"/>
      <c r="Z3" s="481"/>
      <c r="AA3" s="481"/>
      <c r="AB3" s="481"/>
      <c r="AC3" s="481"/>
      <c r="AD3" s="481"/>
      <c r="AE3" s="481"/>
      <c r="AF3" s="481"/>
      <c r="AG3" s="481"/>
      <c r="AH3" s="481"/>
      <c r="AI3" s="481"/>
      <c r="AJ3" s="481"/>
      <c r="AK3" s="481"/>
      <c r="AL3" s="481"/>
      <c r="AM3" s="481"/>
      <c r="AN3" s="481"/>
    </row>
    <row r="4" spans="1:44" s="132" customFormat="1" ht="6" hidden="1" customHeight="1" x14ac:dyDescent="0.3">
      <c r="A4" s="134"/>
      <c r="B4" s="134"/>
      <c r="C4" s="134"/>
      <c r="D4" s="70"/>
      <c r="E4" s="70"/>
      <c r="F4" s="70"/>
      <c r="G4" s="137"/>
      <c r="H4" s="137"/>
      <c r="I4" s="137"/>
      <c r="J4" s="137"/>
      <c r="K4" s="137"/>
      <c r="L4" s="136"/>
      <c r="M4" s="72"/>
      <c r="N4" s="72"/>
      <c r="O4" s="72"/>
      <c r="P4" s="72"/>
      <c r="Q4" s="72"/>
      <c r="R4" s="72"/>
      <c r="S4" s="481"/>
      <c r="T4" s="481"/>
    </row>
    <row r="5" spans="1:44" s="132" customFormat="1" ht="30" customHeight="1" x14ac:dyDescent="0.3">
      <c r="A5" s="135"/>
      <c r="B5" s="135" t="s">
        <v>58</v>
      </c>
      <c r="C5" s="564" t="s">
        <v>139</v>
      </c>
      <c r="D5" s="565"/>
      <c r="E5" s="267"/>
      <c r="F5" s="134" t="s">
        <v>140</v>
      </c>
      <c r="G5" s="268"/>
      <c r="H5" s="148" t="s">
        <v>141</v>
      </c>
      <c r="I5" s="268"/>
      <c r="J5" s="134" t="s">
        <v>142</v>
      </c>
      <c r="K5" s="60">
        <f>(G5*I5)/60</f>
        <v>0</v>
      </c>
      <c r="M5" s="133"/>
      <c r="N5" s="70"/>
      <c r="O5" s="70"/>
      <c r="P5" s="136"/>
      <c r="Q5" s="72"/>
      <c r="R5" s="72"/>
      <c r="S5" s="481"/>
      <c r="T5" s="481"/>
      <c r="U5" s="481"/>
      <c r="V5" s="481"/>
      <c r="W5" s="483"/>
      <c r="X5" s="483"/>
      <c r="Z5" s="484"/>
    </row>
    <row r="6" spans="1:44" s="125" customFormat="1" ht="30" customHeight="1" x14ac:dyDescent="0.25">
      <c r="A6" s="74"/>
      <c r="B6" s="74"/>
      <c r="C6" s="74"/>
      <c r="D6" s="128"/>
      <c r="E6" s="128"/>
      <c r="F6" s="131"/>
      <c r="G6" s="74"/>
      <c r="H6" s="74"/>
      <c r="I6" s="74"/>
      <c r="J6" s="130" t="s">
        <v>143</v>
      </c>
      <c r="K6" s="129">
        <f>IF(K5=0,0,$E$5/$K$5)</f>
        <v>0</v>
      </c>
      <c r="L6" s="74"/>
      <c r="M6" s="74"/>
      <c r="N6" s="74"/>
      <c r="O6" s="72"/>
      <c r="P6" s="72"/>
      <c r="Q6" s="72"/>
      <c r="R6" s="72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1"/>
      <c r="AI6" s="481"/>
      <c r="AJ6" s="481"/>
      <c r="AK6" s="481"/>
      <c r="AL6" s="481"/>
      <c r="AM6" s="481"/>
      <c r="AN6" s="481"/>
      <c r="AO6" s="481"/>
      <c r="AP6" s="481"/>
      <c r="AQ6" s="481"/>
      <c r="AR6" s="481"/>
    </row>
    <row r="7" spans="1:44" s="125" customFormat="1" ht="30" customHeight="1" x14ac:dyDescent="0.25">
      <c r="A7" s="74"/>
      <c r="B7" s="74"/>
      <c r="C7" s="562" t="s">
        <v>144</v>
      </c>
      <c r="D7" s="563"/>
      <c r="E7" s="115"/>
      <c r="F7" s="46">
        <f>IF(E7="Oui",60%,49%)</f>
        <v>0.49</v>
      </c>
      <c r="G7" s="215"/>
      <c r="H7" s="127"/>
      <c r="I7" s="127"/>
      <c r="J7" s="127"/>
      <c r="K7" s="127"/>
      <c r="L7" s="74"/>
      <c r="M7" s="74"/>
      <c r="N7" s="74"/>
      <c r="O7" s="72"/>
      <c r="P7" s="72"/>
      <c r="Q7" s="72"/>
      <c r="R7" s="72"/>
      <c r="S7" s="481"/>
      <c r="T7" s="481"/>
      <c r="U7" s="481"/>
      <c r="V7" s="481"/>
      <c r="W7" s="481"/>
      <c r="X7" s="481"/>
      <c r="Y7" s="481"/>
      <c r="Z7" s="481"/>
      <c r="AA7" s="481"/>
      <c r="AB7" s="481"/>
      <c r="AC7" s="481"/>
      <c r="AD7" s="481"/>
      <c r="AE7" s="481"/>
      <c r="AF7" s="481"/>
      <c r="AG7" s="481"/>
      <c r="AH7" s="481"/>
      <c r="AI7" s="481"/>
      <c r="AJ7" s="481"/>
      <c r="AK7" s="481"/>
      <c r="AL7" s="481"/>
      <c r="AM7" s="481"/>
      <c r="AN7" s="481"/>
      <c r="AO7" s="481"/>
      <c r="AP7" s="481"/>
      <c r="AQ7" s="481"/>
      <c r="AR7" s="481"/>
    </row>
    <row r="8" spans="1:44" s="125" customFormat="1" ht="30" customHeight="1" x14ac:dyDescent="0.25">
      <c r="A8" s="74"/>
      <c r="B8" s="74"/>
      <c r="C8" s="512" t="s">
        <v>145</v>
      </c>
      <c r="D8" s="513"/>
      <c r="E8" s="69"/>
      <c r="F8" s="127"/>
      <c r="G8" s="127"/>
      <c r="H8" s="127"/>
      <c r="I8" s="554" t="s">
        <v>146</v>
      </c>
      <c r="J8" s="555"/>
      <c r="K8" s="269" t="str">
        <f>IF(OR(A58&lt;2,A58=21,N(E$5)=0,K$6=0),"",IF(AND(AND(A58&gt;15,A58&lt;21),K6&gt;=800000),"Oui",IF(AND(OR(A58&lt;5,AND(A58&gt;11,A58&lt;16)),K6&gt;=750000),"Oui",IF(AND(AND(A58&gt;6,A58&lt;12),K6&gt;=400000),"Oui","Non"))))</f>
        <v/>
      </c>
      <c r="L8" s="270" t="str">
        <f>IFERROR(IF(K8="Oui","S/O pour les productions d’animation",""),"")</f>
        <v/>
      </c>
      <c r="M8" s="214"/>
      <c r="N8" s="74"/>
      <c r="O8" s="72"/>
      <c r="P8" s="72"/>
      <c r="Q8" s="72"/>
      <c r="R8" s="72"/>
      <c r="S8" s="481"/>
      <c r="T8" s="481"/>
      <c r="U8" s="481"/>
      <c r="V8" s="481"/>
      <c r="W8" s="481"/>
      <c r="X8" s="481"/>
      <c r="Y8" s="481"/>
      <c r="Z8" s="481"/>
      <c r="AA8" s="481"/>
      <c r="AB8" s="481"/>
      <c r="AC8" s="481"/>
      <c r="AD8" s="481"/>
      <c r="AE8" s="481"/>
      <c r="AF8" s="481"/>
      <c r="AG8" s="481"/>
      <c r="AH8" s="481"/>
      <c r="AI8" s="481"/>
      <c r="AJ8" s="481"/>
      <c r="AK8" s="481"/>
      <c r="AL8" s="481"/>
      <c r="AM8" s="481"/>
      <c r="AN8" s="481"/>
      <c r="AO8" s="481"/>
      <c r="AP8" s="481"/>
      <c r="AQ8" s="481"/>
      <c r="AR8" s="481"/>
    </row>
    <row r="9" spans="1:44" s="125" customFormat="1" ht="30" customHeight="1" x14ac:dyDescent="0.25">
      <c r="A9" s="74"/>
      <c r="B9" s="74"/>
      <c r="C9" s="36"/>
      <c r="D9" s="36"/>
      <c r="E9" s="217"/>
      <c r="F9" s="127"/>
      <c r="G9" s="127"/>
      <c r="H9" s="127"/>
      <c r="I9" s="524" t="s">
        <v>147</v>
      </c>
      <c r="J9" s="525"/>
      <c r="K9" s="60" t="str">
        <f>IF(N(E$5)=0,"",IF(E$5&gt;500000,"Oui","Non"))</f>
        <v/>
      </c>
      <c r="L9" s="270" t="str">
        <f>IFERROR(IF(K9="Oui","S/O pour les productions tournées en direct",""),"")</f>
        <v/>
      </c>
      <c r="M9" s="74"/>
      <c r="N9" s="74"/>
      <c r="O9" s="72"/>
      <c r="P9" s="72"/>
      <c r="Q9" s="72"/>
      <c r="R9" s="72"/>
      <c r="S9" s="481"/>
      <c r="T9" s="481"/>
      <c r="U9" s="481"/>
      <c r="V9" s="481"/>
      <c r="W9" s="481"/>
      <c r="X9" s="481"/>
      <c r="Y9" s="481"/>
      <c r="Z9" s="481"/>
      <c r="AA9" s="481"/>
      <c r="AB9" s="481"/>
      <c r="AC9" s="481"/>
      <c r="AD9" s="481"/>
      <c r="AE9" s="481"/>
      <c r="AF9" s="481"/>
      <c r="AG9" s="481"/>
      <c r="AH9" s="481"/>
      <c r="AI9" s="481"/>
      <c r="AJ9" s="481"/>
      <c r="AK9" s="481"/>
      <c r="AL9" s="481"/>
      <c r="AM9" s="481"/>
      <c r="AN9" s="481"/>
      <c r="AO9" s="481"/>
      <c r="AP9" s="481"/>
      <c r="AQ9" s="481"/>
      <c r="AR9" s="481"/>
    </row>
    <row r="10" spans="1:44" s="125" customFormat="1" x14ac:dyDescent="0.25">
      <c r="A10" s="74"/>
      <c r="B10" s="74"/>
      <c r="C10" s="126"/>
      <c r="D10" s="128"/>
      <c r="E10" s="128"/>
      <c r="F10" s="128"/>
      <c r="G10" s="127"/>
      <c r="H10" s="127"/>
      <c r="I10" s="127"/>
      <c r="J10" s="127"/>
      <c r="K10" s="127"/>
      <c r="L10" s="74"/>
      <c r="M10" s="74"/>
      <c r="N10" s="74"/>
      <c r="O10" s="72"/>
      <c r="P10" s="72"/>
      <c r="Q10" s="72"/>
      <c r="R10" s="72"/>
      <c r="S10" s="481"/>
      <c r="T10" s="481"/>
      <c r="U10" s="481"/>
      <c r="V10" s="481"/>
      <c r="W10" s="481"/>
      <c r="X10" s="481"/>
      <c r="Y10" s="481"/>
      <c r="Z10" s="481"/>
      <c r="AA10" s="481"/>
      <c r="AB10" s="481"/>
      <c r="AC10" s="481"/>
      <c r="AD10" s="481"/>
      <c r="AE10" s="481"/>
      <c r="AF10" s="481"/>
      <c r="AG10" s="481"/>
      <c r="AH10" s="481"/>
      <c r="AI10" s="481"/>
      <c r="AJ10" s="481"/>
      <c r="AK10" s="481"/>
      <c r="AL10" s="481"/>
      <c r="AM10" s="481"/>
      <c r="AN10" s="481"/>
      <c r="AO10" s="481"/>
      <c r="AP10" s="481"/>
      <c r="AQ10" s="481"/>
      <c r="AR10" s="481"/>
    </row>
    <row r="11" spans="1:44" s="125" customFormat="1" ht="25.5" customHeight="1" x14ac:dyDescent="0.25">
      <c r="A11" s="554" t="s">
        <v>148</v>
      </c>
      <c r="B11" s="555"/>
      <c r="C11" s="74"/>
      <c r="D11" s="126"/>
      <c r="E11" s="126"/>
      <c r="F11" s="126"/>
      <c r="G11" s="108"/>
      <c r="H11" s="74"/>
      <c r="I11" s="127"/>
      <c r="J11" s="127"/>
      <c r="K11" s="127"/>
      <c r="L11" s="201"/>
      <c r="N11" s="74"/>
      <c r="O11" s="72"/>
      <c r="P11" s="72"/>
      <c r="Q11" s="72"/>
      <c r="R11" s="72"/>
      <c r="S11" s="481"/>
      <c r="T11" s="481"/>
      <c r="U11" s="481"/>
      <c r="V11" s="481"/>
      <c r="W11" s="481"/>
      <c r="X11" s="481"/>
      <c r="Y11" s="481"/>
      <c r="Z11" s="481"/>
      <c r="AA11" s="481"/>
      <c r="AB11" s="481"/>
      <c r="AC11" s="481"/>
      <c r="AD11" s="481"/>
      <c r="AE11" s="481"/>
      <c r="AF11" s="481"/>
      <c r="AG11" s="481"/>
      <c r="AH11" s="481"/>
      <c r="AI11" s="481"/>
      <c r="AJ11" s="481"/>
      <c r="AK11" s="481"/>
      <c r="AL11" s="481"/>
      <c r="AM11" s="481"/>
      <c r="AN11" s="481"/>
      <c r="AO11" s="481"/>
      <c r="AP11" s="481"/>
    </row>
    <row r="12" spans="1:44" s="125" customFormat="1" ht="19.5" customHeight="1" x14ac:dyDescent="0.25">
      <c r="B12" s="100"/>
      <c r="C12" s="108"/>
      <c r="D12" s="74"/>
      <c r="E12" s="72"/>
      <c r="F12" s="72"/>
      <c r="G12" s="107"/>
      <c r="H12" s="74"/>
      <c r="I12" s="72"/>
      <c r="J12" s="74"/>
      <c r="K12" s="74"/>
      <c r="L12" s="74"/>
      <c r="M12" s="72"/>
      <c r="N12" s="72"/>
      <c r="O12" s="72"/>
      <c r="P12" s="72"/>
      <c r="Q12" s="72"/>
      <c r="R12" s="72"/>
      <c r="S12" s="481"/>
      <c r="T12" s="481"/>
      <c r="U12" s="481"/>
      <c r="V12" s="481"/>
      <c r="W12" s="481"/>
      <c r="X12" s="481"/>
      <c r="Y12" s="481"/>
      <c r="Z12" s="481"/>
      <c r="AA12" s="481"/>
      <c r="AB12" s="481"/>
      <c r="AC12" s="481"/>
      <c r="AD12" s="481"/>
      <c r="AE12" s="481"/>
      <c r="AF12" s="481"/>
      <c r="AG12" s="481"/>
      <c r="AH12" s="481"/>
      <c r="AI12" s="481"/>
      <c r="AJ12" s="481"/>
      <c r="AK12" s="481"/>
      <c r="AL12" s="481"/>
      <c r="AM12" s="481"/>
      <c r="AN12" s="481"/>
      <c r="AO12" s="481"/>
      <c r="AP12" s="481"/>
    </row>
    <row r="13" spans="1:44" s="125" customFormat="1" ht="18.75" customHeight="1" x14ac:dyDescent="0.3">
      <c r="A13" s="265" t="s">
        <v>149</v>
      </c>
      <c r="B13" s="74"/>
      <c r="C13" s="74"/>
      <c r="D13" s="100"/>
      <c r="E13" s="124"/>
      <c r="F13" s="124"/>
      <c r="G13" s="123"/>
      <c r="H13" s="122"/>
      <c r="I13" s="121"/>
      <c r="J13" s="74"/>
      <c r="K13" s="74"/>
      <c r="L13" s="72"/>
      <c r="M13" s="72"/>
      <c r="N13" s="72"/>
      <c r="O13" s="72"/>
      <c r="P13" s="72"/>
      <c r="Q13" s="72"/>
      <c r="R13" s="72"/>
      <c r="S13" s="481"/>
      <c r="T13" s="481"/>
      <c r="U13" s="481"/>
      <c r="V13" s="481"/>
      <c r="W13" s="481"/>
      <c r="X13" s="481"/>
      <c r="Y13" s="481"/>
      <c r="Z13" s="481"/>
      <c r="AA13" s="481"/>
      <c r="AB13" s="481"/>
      <c r="AC13" s="481"/>
      <c r="AD13" s="481"/>
      <c r="AE13" s="481"/>
      <c r="AF13" s="481"/>
      <c r="AG13" s="481"/>
      <c r="AH13" s="481"/>
      <c r="AI13" s="481"/>
      <c r="AJ13" s="481"/>
      <c r="AK13" s="481"/>
      <c r="AL13" s="481"/>
      <c r="AM13" s="481"/>
      <c r="AN13" s="481"/>
      <c r="AO13" s="481"/>
      <c r="AP13" s="481"/>
    </row>
    <row r="14" spans="1:44" s="125" customFormat="1" ht="18.75" customHeight="1" x14ac:dyDescent="0.3">
      <c r="A14" s="200" t="s">
        <v>150</v>
      </c>
      <c r="B14" s="74"/>
      <c r="C14" s="74"/>
      <c r="D14" s="100"/>
      <c r="E14" s="124"/>
      <c r="F14" s="124"/>
      <c r="G14" s="123"/>
      <c r="H14" s="74"/>
      <c r="I14" s="195"/>
      <c r="J14" s="196"/>
      <c r="K14" s="497" t="s">
        <v>151</v>
      </c>
      <c r="L14" s="197"/>
      <c r="M14" s="198"/>
      <c r="N14" s="72"/>
      <c r="O14" s="72"/>
      <c r="P14" s="72"/>
      <c r="Q14" s="72"/>
      <c r="R14" s="72"/>
      <c r="S14" s="481"/>
      <c r="T14" s="481"/>
      <c r="U14" s="481"/>
      <c r="V14" s="481"/>
      <c r="W14" s="481"/>
      <c r="X14" s="481"/>
      <c r="Y14" s="481"/>
      <c r="Z14" s="481"/>
      <c r="AA14" s="481"/>
      <c r="AB14" s="481"/>
      <c r="AC14" s="481"/>
      <c r="AD14" s="481"/>
      <c r="AE14" s="481"/>
      <c r="AF14" s="481"/>
      <c r="AG14" s="481"/>
      <c r="AH14" s="481"/>
      <c r="AI14" s="481"/>
      <c r="AJ14" s="481"/>
      <c r="AK14" s="481"/>
      <c r="AL14" s="481"/>
      <c r="AM14" s="481"/>
      <c r="AN14" s="481"/>
      <c r="AO14" s="481"/>
      <c r="AP14" s="481"/>
    </row>
    <row r="15" spans="1:44" s="125" customFormat="1" ht="65.099999999999994" customHeight="1" x14ac:dyDescent="0.25">
      <c r="A15" s="581" t="s">
        <v>152</v>
      </c>
      <c r="B15" s="582"/>
      <c r="C15" s="117" t="s">
        <v>153</v>
      </c>
      <c r="D15" s="117" t="s">
        <v>154</v>
      </c>
      <c r="E15" s="120" t="s">
        <v>155</v>
      </c>
      <c r="F15" s="119" t="s">
        <v>156</v>
      </c>
      <c r="G15" s="119" t="s">
        <v>157</v>
      </c>
      <c r="H15" s="67" t="s">
        <v>158</v>
      </c>
      <c r="I15" s="118" t="s">
        <v>159</v>
      </c>
      <c r="J15" s="118" t="s">
        <v>160</v>
      </c>
      <c r="K15" s="117" t="s">
        <v>161</v>
      </c>
      <c r="L15" s="117" t="s">
        <v>162</v>
      </c>
      <c r="M15" s="117" t="s">
        <v>163</v>
      </c>
      <c r="N15" s="72"/>
      <c r="O15" s="72"/>
      <c r="P15" s="72"/>
      <c r="Q15" s="72"/>
      <c r="R15" s="72"/>
      <c r="S15" s="481"/>
      <c r="T15" s="481"/>
      <c r="U15" s="481"/>
      <c r="V15" s="481"/>
      <c r="W15" s="481"/>
      <c r="X15" s="481"/>
      <c r="Y15" s="481"/>
      <c r="Z15" s="481"/>
      <c r="AA15" s="481"/>
      <c r="AB15" s="481"/>
      <c r="AC15" s="481"/>
      <c r="AD15" s="481"/>
      <c r="AE15" s="481"/>
      <c r="AF15" s="481"/>
      <c r="AG15" s="481"/>
      <c r="AH15" s="481"/>
      <c r="AI15" s="481"/>
      <c r="AJ15" s="481"/>
      <c r="AK15" s="481"/>
      <c r="AL15" s="481"/>
      <c r="AM15" s="481"/>
    </row>
    <row r="16" spans="1:44" s="125" customFormat="1" ht="24.9" customHeight="1" x14ac:dyDescent="0.25">
      <c r="A16" s="86" t="s">
        <v>164</v>
      </c>
      <c r="B16" s="61"/>
      <c r="C16" s="271">
        <f>IF($C$22&gt;0,E16/$E$22*$C$22,0)</f>
        <v>0</v>
      </c>
      <c r="D16" s="271">
        <f>IF($D$22&gt;0,E16/$E$22*$D$22,0)</f>
        <v>0</v>
      </c>
      <c r="E16" s="261"/>
      <c r="F16" s="261"/>
      <c r="G16" s="249"/>
      <c r="H16" s="249"/>
      <c r="I16" s="260"/>
      <c r="J16" s="467">
        <f t="shared" ref="J16:J21" si="0">DATE(YEAR(I16),(MONTH(I16)+K16),DAY(I16))</f>
        <v>0</v>
      </c>
      <c r="K16" s="114"/>
      <c r="L16" s="113"/>
      <c r="M16" s="113"/>
      <c r="N16" s="72"/>
      <c r="O16" s="72"/>
      <c r="P16" s="72"/>
      <c r="Q16" s="72"/>
      <c r="R16" s="72"/>
      <c r="S16" s="481"/>
      <c r="T16" s="481"/>
      <c r="U16" s="481"/>
      <c r="V16" s="481"/>
      <c r="W16" s="481"/>
      <c r="X16" s="481"/>
      <c r="Y16" s="481"/>
      <c r="Z16" s="481"/>
      <c r="AA16" s="481"/>
      <c r="AB16" s="481"/>
      <c r="AC16" s="481"/>
      <c r="AD16" s="481"/>
      <c r="AE16" s="481"/>
      <c r="AF16" s="481"/>
      <c r="AG16" s="481"/>
      <c r="AH16" s="481"/>
      <c r="AI16" s="481"/>
      <c r="AJ16" s="481"/>
      <c r="AK16" s="481"/>
      <c r="AL16" s="481"/>
      <c r="AM16" s="481"/>
    </row>
    <row r="17" spans="1:42" s="125" customFormat="1" ht="24.9" customHeight="1" x14ac:dyDescent="0.25">
      <c r="A17" s="86" t="s">
        <v>165</v>
      </c>
      <c r="B17" s="61"/>
      <c r="C17" s="271">
        <f>IF($C$22&gt;0,E17/$E$22*$C$22,0)</f>
        <v>0</v>
      </c>
      <c r="D17" s="271">
        <f>IF($D$22&gt;0,E17/$E$22*$D$22,0)</f>
        <v>0</v>
      </c>
      <c r="E17" s="261"/>
      <c r="F17" s="261"/>
      <c r="G17" s="261"/>
      <c r="H17" s="261"/>
      <c r="I17" s="260"/>
      <c r="J17" s="467">
        <f t="shared" si="0"/>
        <v>0</v>
      </c>
      <c r="K17" s="114"/>
      <c r="L17" s="113"/>
      <c r="M17" s="113"/>
      <c r="N17" s="72"/>
      <c r="O17" s="72"/>
      <c r="P17" s="72"/>
      <c r="Q17" s="72"/>
      <c r="R17" s="72"/>
      <c r="S17" s="481"/>
      <c r="T17" s="481"/>
      <c r="U17" s="481"/>
      <c r="V17" s="481"/>
      <c r="W17" s="481"/>
      <c r="X17" s="481"/>
      <c r="Y17" s="481"/>
      <c r="Z17" s="481"/>
      <c r="AA17" s="481"/>
      <c r="AB17" s="481"/>
      <c r="AC17" s="481"/>
      <c r="AD17" s="481"/>
      <c r="AE17" s="481"/>
      <c r="AF17" s="481"/>
      <c r="AG17" s="481"/>
      <c r="AH17" s="481"/>
      <c r="AI17" s="481"/>
      <c r="AJ17" s="481"/>
      <c r="AK17" s="481"/>
      <c r="AL17" s="481"/>
      <c r="AM17" s="481"/>
    </row>
    <row r="18" spans="1:42" s="125" customFormat="1" ht="24.9" customHeight="1" x14ac:dyDescent="0.25">
      <c r="A18" s="86" t="s">
        <v>166</v>
      </c>
      <c r="B18" s="61"/>
      <c r="C18" s="271">
        <f t="shared" ref="C18:C21" si="1">IF($C$22&gt;0,E18/$E$22*$C$22,0)</f>
        <v>0</v>
      </c>
      <c r="D18" s="271">
        <f t="shared" ref="D18:D21" si="2">IF($D$22&gt;0,E18/$E$22*$D$22,0)</f>
        <v>0</v>
      </c>
      <c r="E18" s="261"/>
      <c r="F18" s="261"/>
      <c r="G18" s="261"/>
      <c r="H18" s="261"/>
      <c r="I18" s="260"/>
      <c r="J18" s="467">
        <f t="shared" si="0"/>
        <v>0</v>
      </c>
      <c r="K18" s="114"/>
      <c r="L18" s="113"/>
      <c r="M18" s="113"/>
      <c r="N18" s="72"/>
      <c r="O18" s="72"/>
      <c r="P18" s="72"/>
      <c r="Q18" s="72"/>
      <c r="R18" s="72"/>
      <c r="S18" s="481"/>
      <c r="T18" s="481"/>
      <c r="U18" s="481"/>
      <c r="V18" s="481"/>
      <c r="W18" s="481"/>
      <c r="X18" s="481"/>
      <c r="Y18" s="481"/>
      <c r="Z18" s="481"/>
      <c r="AA18" s="481"/>
      <c r="AB18" s="481"/>
      <c r="AC18" s="481"/>
      <c r="AD18" s="481"/>
      <c r="AE18" s="481"/>
      <c r="AF18" s="481"/>
      <c r="AG18" s="481"/>
      <c r="AH18" s="481"/>
      <c r="AI18" s="481"/>
      <c r="AJ18" s="481"/>
      <c r="AK18" s="481"/>
      <c r="AL18" s="481"/>
      <c r="AM18" s="481"/>
    </row>
    <row r="19" spans="1:42" s="125" customFormat="1" ht="24.9" customHeight="1" x14ac:dyDescent="0.25">
      <c r="A19" s="86" t="s">
        <v>167</v>
      </c>
      <c r="B19" s="61"/>
      <c r="C19" s="271">
        <f t="shared" si="1"/>
        <v>0</v>
      </c>
      <c r="D19" s="271">
        <f t="shared" si="2"/>
        <v>0</v>
      </c>
      <c r="E19" s="261"/>
      <c r="F19" s="261"/>
      <c r="G19" s="261"/>
      <c r="H19" s="261"/>
      <c r="I19" s="260"/>
      <c r="J19" s="467">
        <f t="shared" si="0"/>
        <v>0</v>
      </c>
      <c r="K19" s="114"/>
      <c r="L19" s="113"/>
      <c r="M19" s="113"/>
      <c r="N19" s="72"/>
      <c r="O19" s="72"/>
      <c r="P19" s="72"/>
      <c r="Q19" s="72"/>
      <c r="R19" s="72"/>
      <c r="S19" s="481"/>
      <c r="T19" s="481"/>
      <c r="U19" s="481"/>
      <c r="V19" s="481"/>
      <c r="W19" s="481"/>
      <c r="X19" s="481"/>
      <c r="Y19" s="481"/>
      <c r="Z19" s="481"/>
      <c r="AA19" s="481"/>
      <c r="AB19" s="481"/>
      <c r="AC19" s="481"/>
      <c r="AD19" s="481"/>
      <c r="AE19" s="481"/>
      <c r="AF19" s="481"/>
      <c r="AG19" s="481"/>
      <c r="AH19" s="481"/>
      <c r="AI19" s="481"/>
      <c r="AJ19" s="481"/>
      <c r="AK19" s="481"/>
      <c r="AL19" s="481"/>
      <c r="AM19" s="481"/>
    </row>
    <row r="20" spans="1:42" s="125" customFormat="1" ht="24.9" customHeight="1" x14ac:dyDescent="0.25">
      <c r="A20" s="86" t="s">
        <v>168</v>
      </c>
      <c r="B20" s="61"/>
      <c r="C20" s="271">
        <f t="shared" si="1"/>
        <v>0</v>
      </c>
      <c r="D20" s="271">
        <f t="shared" si="2"/>
        <v>0</v>
      </c>
      <c r="E20" s="261"/>
      <c r="F20" s="261"/>
      <c r="G20" s="261"/>
      <c r="H20" s="261"/>
      <c r="I20" s="260"/>
      <c r="J20" s="467">
        <f t="shared" si="0"/>
        <v>0</v>
      </c>
      <c r="K20" s="114"/>
      <c r="L20" s="113"/>
      <c r="M20" s="113"/>
      <c r="N20" s="72"/>
      <c r="O20" s="72"/>
      <c r="P20" s="72"/>
      <c r="Q20" s="72"/>
      <c r="R20" s="72"/>
      <c r="S20" s="481"/>
      <c r="T20" s="481"/>
      <c r="U20" s="481"/>
      <c r="V20" s="481"/>
      <c r="W20" s="481"/>
      <c r="X20" s="481"/>
      <c r="Y20" s="481"/>
      <c r="Z20" s="481"/>
      <c r="AA20" s="481"/>
      <c r="AB20" s="481"/>
      <c r="AC20" s="481"/>
      <c r="AD20" s="481"/>
      <c r="AE20" s="481"/>
      <c r="AF20" s="481"/>
      <c r="AG20" s="481"/>
      <c r="AH20" s="481"/>
      <c r="AI20" s="481"/>
      <c r="AJ20" s="481"/>
      <c r="AK20" s="481"/>
      <c r="AL20" s="481"/>
      <c r="AM20" s="481"/>
    </row>
    <row r="21" spans="1:42" s="125" customFormat="1" ht="24.9" customHeight="1" thickBot="1" x14ac:dyDescent="0.3">
      <c r="A21" s="78" t="s">
        <v>169</v>
      </c>
      <c r="B21" s="116"/>
      <c r="C21" s="271">
        <f t="shared" si="1"/>
        <v>0</v>
      </c>
      <c r="D21" s="271">
        <f t="shared" si="2"/>
        <v>0</v>
      </c>
      <c r="E21" s="261"/>
      <c r="F21" s="261"/>
      <c r="G21" s="261"/>
      <c r="H21" s="261"/>
      <c r="I21" s="260"/>
      <c r="J21" s="467">
        <f t="shared" si="0"/>
        <v>0</v>
      </c>
      <c r="K21" s="114"/>
      <c r="L21" s="113"/>
      <c r="M21" s="113"/>
      <c r="N21" s="72"/>
      <c r="O21" s="72"/>
      <c r="P21" s="72"/>
      <c r="Q21" s="72"/>
      <c r="R21" s="72"/>
      <c r="S21" s="481"/>
      <c r="T21" s="481"/>
      <c r="U21" s="481"/>
      <c r="V21" s="481"/>
      <c r="W21" s="481"/>
      <c r="X21" s="481"/>
      <c r="Y21" s="481"/>
      <c r="Z21" s="481"/>
      <c r="AA21" s="481"/>
      <c r="AB21" s="481"/>
      <c r="AC21" s="481"/>
      <c r="AD21" s="481"/>
      <c r="AE21" s="481"/>
      <c r="AF21" s="481"/>
      <c r="AG21" s="481"/>
      <c r="AH21" s="481"/>
      <c r="AI21" s="481"/>
      <c r="AJ21" s="481"/>
      <c r="AK21" s="481"/>
      <c r="AL21" s="481"/>
      <c r="AM21" s="481"/>
    </row>
    <row r="22" spans="1:42" s="485" customFormat="1" ht="18.75" customHeight="1" thickBot="1" x14ac:dyDescent="0.3">
      <c r="A22" s="112"/>
      <c r="B22" s="111" t="s">
        <v>170</v>
      </c>
      <c r="C22" s="272">
        <f>IF(E22-(E5*0.2)&lt;$A$59,E22,IF(AND(A$58=15,J$58=4),IF((E5*0.2)&lt;E22,E5*0.2,E22),IF((E5*0.2)&lt;E22,E5*0.2,E22)))</f>
        <v>0</v>
      </c>
      <c r="D22" s="272">
        <f>E22-C22</f>
        <v>0</v>
      </c>
      <c r="E22" s="273">
        <f>SUM(E16:E21)</f>
        <v>0</v>
      </c>
      <c r="F22" s="273">
        <f>SUM(F16:F21)</f>
        <v>0</v>
      </c>
      <c r="G22" s="273">
        <f>SUM(G16:G21)</f>
        <v>0</v>
      </c>
      <c r="H22" s="273">
        <f>SUM(H16:H21)</f>
        <v>0</v>
      </c>
      <c r="I22" s="74"/>
      <c r="J22" s="74"/>
      <c r="K22" s="74"/>
      <c r="L22" s="92"/>
      <c r="M22" s="92"/>
      <c r="N22" s="92"/>
      <c r="O22" s="92"/>
      <c r="P22" s="92"/>
      <c r="Q22" s="92"/>
      <c r="R22" s="92"/>
      <c r="S22" s="483"/>
      <c r="T22" s="483"/>
      <c r="U22" s="483"/>
      <c r="V22" s="483"/>
      <c r="W22" s="483"/>
      <c r="X22" s="483"/>
      <c r="Y22" s="483"/>
      <c r="Z22" s="483"/>
      <c r="AA22" s="483"/>
      <c r="AB22" s="483"/>
      <c r="AC22" s="483"/>
      <c r="AD22" s="483"/>
      <c r="AE22" s="483"/>
      <c r="AF22" s="483"/>
      <c r="AG22" s="483"/>
      <c r="AH22" s="483"/>
      <c r="AI22" s="483"/>
      <c r="AJ22" s="483"/>
      <c r="AK22" s="483"/>
      <c r="AL22" s="483"/>
      <c r="AM22" s="483"/>
    </row>
    <row r="23" spans="1:42" s="125" customFormat="1" ht="30" customHeight="1" x14ac:dyDescent="0.25">
      <c r="A23" s="79"/>
      <c r="B23" s="576" t="str">
        <f>IF(K58=1,K74,IF(K58=2,K75,"Mesure incitative"))</f>
        <v>Mesure incitative</v>
      </c>
      <c r="C23" s="577"/>
      <c r="D23" s="578"/>
      <c r="E23" s="274">
        <f>E9</f>
        <v>0</v>
      </c>
      <c r="F23" s="79"/>
      <c r="G23" s="74"/>
      <c r="H23" s="79"/>
      <c r="I23" s="79"/>
      <c r="J23" s="79"/>
      <c r="K23" s="79"/>
      <c r="L23" s="79"/>
      <c r="M23" s="79"/>
      <c r="N23" s="72"/>
      <c r="O23" s="72"/>
      <c r="P23" s="72"/>
      <c r="Q23" s="72"/>
      <c r="R23" s="72"/>
      <c r="S23" s="481"/>
      <c r="T23" s="481"/>
      <c r="U23" s="481"/>
      <c r="V23" s="481"/>
      <c r="W23" s="481"/>
      <c r="X23" s="481"/>
      <c r="Y23" s="481"/>
      <c r="Z23" s="481"/>
      <c r="AA23" s="481"/>
      <c r="AB23" s="481"/>
      <c r="AC23" s="481"/>
      <c r="AD23" s="481"/>
      <c r="AE23" s="481"/>
      <c r="AF23" s="481"/>
      <c r="AG23" s="481"/>
      <c r="AH23" s="481"/>
      <c r="AI23" s="481"/>
      <c r="AJ23" s="481"/>
      <c r="AK23" s="481"/>
      <c r="AL23" s="481"/>
      <c r="AM23" s="481"/>
      <c r="AN23" s="481"/>
      <c r="AO23" s="481"/>
      <c r="AP23" s="481"/>
    </row>
    <row r="24" spans="1:42" s="125" customFormat="1" ht="15.6" x14ac:dyDescent="0.3">
      <c r="A24" s="200"/>
      <c r="B24" s="199" t="str">
        <f>IF(K58=2,"Rappel, pour demander la mesure incitative ci-dessus indiquée, le projet doit disposer d’une allocation d’enveloppe des télédiffuseurs","")</f>
        <v/>
      </c>
      <c r="C24"/>
      <c r="D24"/>
      <c r="E24"/>
      <c r="F24" s="79"/>
      <c r="G24" s="79"/>
      <c r="H24" s="79"/>
      <c r="I24" s="79"/>
      <c r="J24" s="79"/>
      <c r="K24" s="79"/>
      <c r="L24" s="79"/>
      <c r="M24" s="79"/>
      <c r="N24" s="72"/>
      <c r="O24" s="72"/>
      <c r="P24" s="72"/>
      <c r="Q24" s="72"/>
      <c r="R24" s="72"/>
      <c r="S24" s="481"/>
      <c r="T24" s="481"/>
      <c r="U24" s="481"/>
      <c r="V24" s="481"/>
      <c r="W24" s="481"/>
      <c r="X24" s="481"/>
      <c r="Y24" s="481"/>
      <c r="Z24" s="481"/>
      <c r="AA24" s="481"/>
      <c r="AB24" s="481"/>
      <c r="AC24" s="481"/>
      <c r="AD24" s="481"/>
      <c r="AE24" s="481"/>
      <c r="AF24" s="481"/>
      <c r="AG24" s="481"/>
      <c r="AH24" s="481"/>
      <c r="AI24" s="481"/>
      <c r="AJ24" s="481"/>
      <c r="AK24" s="481"/>
      <c r="AL24" s="481"/>
      <c r="AM24" s="481"/>
      <c r="AN24" s="481"/>
      <c r="AO24" s="481"/>
      <c r="AP24" s="481"/>
    </row>
    <row r="25" spans="1:42" s="125" customFormat="1" x14ac:dyDescent="0.25">
      <c r="A25" s="109"/>
      <c r="B25" s="100"/>
      <c r="C25" s="108"/>
      <c r="D25" s="74"/>
      <c r="E25" s="72"/>
      <c r="F25" s="72"/>
      <c r="G25" s="107"/>
      <c r="H25" s="74"/>
      <c r="I25" s="72"/>
      <c r="J25" s="74"/>
      <c r="K25" s="74"/>
      <c r="L25" s="74"/>
      <c r="M25" s="72"/>
      <c r="N25" s="72"/>
      <c r="O25" s="72"/>
      <c r="P25" s="72"/>
      <c r="Q25" s="72"/>
      <c r="R25" s="72"/>
      <c r="S25" s="481"/>
      <c r="T25" s="481"/>
      <c r="U25" s="481"/>
      <c r="V25" s="481"/>
      <c r="W25" s="481"/>
      <c r="X25" s="481"/>
      <c r="Y25" s="481"/>
      <c r="Z25" s="481"/>
      <c r="AA25" s="481"/>
      <c r="AB25" s="481"/>
      <c r="AC25" s="481"/>
      <c r="AD25" s="481"/>
      <c r="AE25" s="481"/>
      <c r="AF25" s="481"/>
      <c r="AG25" s="481"/>
      <c r="AH25" s="481"/>
      <c r="AI25" s="481"/>
      <c r="AJ25" s="481"/>
      <c r="AK25" s="481"/>
      <c r="AL25" s="481"/>
      <c r="AM25" s="481"/>
      <c r="AN25" s="481"/>
      <c r="AO25" s="481"/>
      <c r="AP25" s="481"/>
    </row>
    <row r="26" spans="1:42" s="125" customFormat="1" ht="23.25" customHeight="1" x14ac:dyDescent="0.25">
      <c r="A26" s="575" t="s">
        <v>171</v>
      </c>
      <c r="B26" s="538"/>
      <c r="C26" s="539"/>
      <c r="D26" s="539"/>
      <c r="E26" s="539"/>
      <c r="F26" s="539"/>
      <c r="G26" s="539"/>
      <c r="H26" s="539"/>
      <c r="I26" s="539"/>
      <c r="J26" s="539"/>
      <c r="K26" s="539"/>
      <c r="L26" s="540"/>
      <c r="M26" s="541"/>
      <c r="N26" s="79"/>
      <c r="O26" s="79"/>
      <c r="P26" s="72"/>
      <c r="Q26" s="72"/>
      <c r="R26" s="72"/>
      <c r="S26" s="481"/>
      <c r="T26" s="481"/>
      <c r="U26" s="481"/>
      <c r="V26" s="481"/>
      <c r="W26" s="481"/>
      <c r="X26" s="481"/>
      <c r="Y26" s="481"/>
      <c r="Z26" s="481"/>
      <c r="AA26" s="481"/>
      <c r="AB26" s="481"/>
      <c r="AC26" s="481"/>
      <c r="AD26" s="481"/>
      <c r="AE26" s="481"/>
      <c r="AF26" s="481"/>
      <c r="AG26" s="481"/>
      <c r="AH26" s="481"/>
      <c r="AI26" s="481"/>
      <c r="AJ26" s="481"/>
      <c r="AK26" s="481"/>
      <c r="AL26" s="481"/>
      <c r="AM26" s="481"/>
      <c r="AN26" s="481"/>
      <c r="AO26" s="481"/>
    </row>
    <row r="27" spans="1:42" s="125" customFormat="1" ht="23.25" customHeight="1" x14ac:dyDescent="0.25">
      <c r="A27" s="575"/>
      <c r="B27" s="542"/>
      <c r="C27" s="543"/>
      <c r="D27" s="543"/>
      <c r="E27" s="543"/>
      <c r="F27" s="543"/>
      <c r="G27" s="543"/>
      <c r="H27" s="543"/>
      <c r="I27" s="543"/>
      <c r="J27" s="543"/>
      <c r="K27" s="543"/>
      <c r="L27" s="544"/>
      <c r="M27" s="545"/>
      <c r="N27" s="79"/>
      <c r="O27" s="79"/>
      <c r="P27" s="72"/>
      <c r="Q27" s="72"/>
      <c r="R27" s="72"/>
      <c r="S27" s="481"/>
      <c r="T27" s="481"/>
      <c r="U27" s="481"/>
      <c r="V27" s="481"/>
      <c r="W27" s="481"/>
      <c r="X27" s="481"/>
      <c r="Y27" s="481"/>
      <c r="Z27" s="481"/>
      <c r="AA27" s="481"/>
      <c r="AB27" s="481"/>
      <c r="AC27" s="481"/>
      <c r="AD27" s="481"/>
      <c r="AE27" s="481"/>
      <c r="AF27" s="481"/>
      <c r="AG27" s="481"/>
      <c r="AH27" s="481"/>
      <c r="AI27" s="481"/>
      <c r="AJ27" s="481"/>
      <c r="AK27" s="481"/>
      <c r="AL27" s="481"/>
      <c r="AM27" s="481"/>
      <c r="AN27" s="481"/>
      <c r="AO27" s="481"/>
    </row>
    <row r="28" spans="1:42" s="125" customFormat="1" ht="15.75" customHeight="1" x14ac:dyDescent="0.25">
      <c r="A28" s="106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2"/>
      <c r="N28" s="72"/>
      <c r="O28" s="72"/>
      <c r="P28" s="72"/>
      <c r="Q28" s="72"/>
      <c r="R28" s="72"/>
      <c r="S28" s="481"/>
      <c r="T28" s="481"/>
      <c r="U28" s="481"/>
      <c r="V28" s="481"/>
      <c r="W28" s="481"/>
      <c r="X28" s="481"/>
      <c r="Y28" s="481"/>
      <c r="Z28" s="481"/>
      <c r="AA28" s="481"/>
      <c r="AB28" s="481"/>
      <c r="AC28" s="481"/>
      <c r="AD28" s="481"/>
      <c r="AE28" s="481"/>
      <c r="AF28" s="481"/>
      <c r="AG28" s="481"/>
      <c r="AH28" s="481"/>
      <c r="AI28" s="481"/>
      <c r="AJ28" s="481"/>
      <c r="AK28" s="481"/>
      <c r="AL28" s="481"/>
      <c r="AM28" s="481"/>
      <c r="AN28" s="481"/>
      <c r="AO28" s="481"/>
    </row>
    <row r="29" spans="1:42" s="486" customFormat="1" ht="21" customHeight="1" x14ac:dyDescent="0.3">
      <c r="A29" s="90" t="s">
        <v>172</v>
      </c>
      <c r="B29" s="105"/>
      <c r="C29" s="104"/>
      <c r="D29" s="104"/>
      <c r="E29" s="104"/>
      <c r="F29" s="104"/>
      <c r="G29" s="103"/>
      <c r="H29" s="548" t="s">
        <v>173</v>
      </c>
      <c r="I29" s="549"/>
      <c r="J29" s="103"/>
      <c r="K29" s="102"/>
      <c r="L29"/>
      <c r="M29"/>
      <c r="N29" s="70"/>
      <c r="O29" s="70"/>
      <c r="P29" s="70"/>
      <c r="Q29" s="70"/>
      <c r="R29" s="70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</row>
    <row r="30" spans="1:42" s="125" customFormat="1" ht="68.099999999999994" customHeight="1" x14ac:dyDescent="0.25">
      <c r="A30" s="581" t="s">
        <v>174</v>
      </c>
      <c r="B30" s="582"/>
      <c r="C30" s="101" t="s">
        <v>175</v>
      </c>
      <c r="D30" s="101" t="s">
        <v>176</v>
      </c>
      <c r="E30" s="175" t="s">
        <v>177</v>
      </c>
      <c r="F30" s="175" t="s">
        <v>178</v>
      </c>
      <c r="G30" s="176" t="s">
        <v>179</v>
      </c>
      <c r="H30" s="167" t="s">
        <v>180</v>
      </c>
      <c r="I30" s="67" t="s">
        <v>181</v>
      </c>
      <c r="J30" s="500" t="s">
        <v>182</v>
      </c>
      <c r="K30" s="167" t="s">
        <v>183</v>
      </c>
      <c r="L30" s="496" t="s">
        <v>184</v>
      </c>
      <c r="N30" s="74"/>
      <c r="O30" s="202" t="s">
        <v>185</v>
      </c>
      <c r="P30" s="78" t="s">
        <v>186</v>
      </c>
      <c r="Q30" s="78" t="s">
        <v>187</v>
      </c>
      <c r="R30" s="72"/>
      <c r="S30" s="481"/>
      <c r="T30" s="448"/>
      <c r="U30" s="448"/>
      <c r="V30" s="448"/>
      <c r="W30" s="448"/>
      <c r="X30" s="448"/>
      <c r="Y30" s="448"/>
      <c r="Z30" s="448"/>
      <c r="AA30" s="481"/>
      <c r="AB30" s="481"/>
      <c r="AC30" s="481"/>
      <c r="AD30" s="481"/>
      <c r="AE30" s="481"/>
      <c r="AF30" s="481"/>
      <c r="AG30" s="481"/>
      <c r="AH30" s="481"/>
      <c r="AI30" s="481"/>
      <c r="AJ30" s="481"/>
      <c r="AK30" s="481"/>
      <c r="AL30" s="481"/>
      <c r="AM30" s="481"/>
      <c r="AN30" s="481"/>
      <c r="AO30" s="481"/>
      <c r="AP30" s="481"/>
    </row>
    <row r="31" spans="1:42" s="125" customFormat="1" ht="14.25" customHeight="1" x14ac:dyDescent="0.25">
      <c r="A31" s="168" t="s">
        <v>164</v>
      </c>
      <c r="B31" s="275">
        <f>$B$16</f>
        <v>0</v>
      </c>
      <c r="C31" s="276">
        <f t="shared" ref="C31:C36" si="3">IF($C$37&gt;0,ROUND(E31/$E$37*$C$37,0),0)</f>
        <v>0</v>
      </c>
      <c r="D31" s="277">
        <f t="shared" ref="D31:D37" si="4">E31-C31</f>
        <v>0</v>
      </c>
      <c r="E31" s="278">
        <f t="shared" ref="E31:E36" si="5">IF($E$37=0,0,ROUND((E16/$E$22)*E$37,0))</f>
        <v>0</v>
      </c>
      <c r="F31" s="279" t="str">
        <f>IF($E$5=0,"",E31/$E$5)</f>
        <v/>
      </c>
      <c r="G31" s="278">
        <f>$H$43</f>
        <v>0</v>
      </c>
      <c r="H31" s="278" t="s">
        <v>188</v>
      </c>
      <c r="I31" s="278" t="s">
        <v>188</v>
      </c>
      <c r="J31" s="279" t="str">
        <f>IF($E$5=0,"",(G31+N(H31)+N(I31))/$E$5)</f>
        <v/>
      </c>
      <c r="K31" s="280"/>
      <c r="L31" s="278">
        <f>MAX(F16+G16+H16-G31-N(H31)-N(I31),0)</f>
        <v>0</v>
      </c>
      <c r="N31" s="74"/>
      <c r="O31" s="203">
        <f>IF($J58=4,IF(K16&lt;60,K16,60),IF(K16&lt;72,K16,72))</f>
        <v>0</v>
      </c>
      <c r="P31" s="204"/>
      <c r="Q31" s="205" t="s">
        <v>188</v>
      </c>
      <c r="R31" s="72"/>
      <c r="S31" s="481"/>
      <c r="T31" s="448"/>
      <c r="U31" s="448"/>
      <c r="V31" s="448"/>
      <c r="W31" s="448"/>
      <c r="X31" s="448"/>
      <c r="Y31" s="448"/>
      <c r="Z31" s="448"/>
      <c r="AA31" s="481"/>
      <c r="AB31" s="481"/>
      <c r="AC31" s="481"/>
      <c r="AD31" s="481"/>
      <c r="AE31" s="481"/>
      <c r="AF31" s="481"/>
      <c r="AG31" s="481"/>
      <c r="AH31" s="481"/>
      <c r="AI31" s="481"/>
      <c r="AJ31" s="481"/>
      <c r="AK31" s="481"/>
      <c r="AL31" s="481"/>
      <c r="AM31" s="481"/>
      <c r="AN31" s="481"/>
      <c r="AO31" s="481"/>
      <c r="AP31" s="481"/>
    </row>
    <row r="32" spans="1:42" s="125" customFormat="1" ht="14.25" customHeight="1" x14ac:dyDescent="0.25">
      <c r="A32" s="169" t="s">
        <v>165</v>
      </c>
      <c r="B32" s="281">
        <f>$B$17</f>
        <v>0</v>
      </c>
      <c r="C32" s="276">
        <f t="shared" si="3"/>
        <v>0</v>
      </c>
      <c r="D32" s="277">
        <f t="shared" si="4"/>
        <v>0</v>
      </c>
      <c r="E32" s="278">
        <f t="shared" si="5"/>
        <v>0</v>
      </c>
      <c r="F32" s="279" t="str">
        <f t="shared" ref="F32:F36" si="6">IF($E$5=0,"",E32/$E$5)</f>
        <v/>
      </c>
      <c r="G32" s="278">
        <f>$H$45</f>
        <v>0</v>
      </c>
      <c r="H32" s="278" t="str">
        <f t="shared" ref="H32:H36" si="7">IF($G$22=0,"",ROUND((G17*H$37/$G$22),0))</f>
        <v/>
      </c>
      <c r="I32" s="278" t="str">
        <f>IF($I$37&gt;0,MIN(H17,(H17/$H$22)*I$37),"")</f>
        <v/>
      </c>
      <c r="J32" s="279" t="str">
        <f t="shared" ref="J32:J36" si="8">IF($E$5=0,"",(G32+N(H32)+N(I32))/$E$5)</f>
        <v/>
      </c>
      <c r="K32" s="282"/>
      <c r="L32" s="278">
        <f t="shared" ref="L32:L36" si="9">MAX(F17+G17+H17-G32-N(H32)-N(I32),0)</f>
        <v>0</v>
      </c>
      <c r="N32" s="74"/>
      <c r="O32" s="206">
        <f>IF($K17=0,0,IF($K17&lt;$F45,$K17,$F$45))</f>
        <v>0</v>
      </c>
      <c r="P32" s="204"/>
      <c r="Q32" s="207">
        <f>IF(I17&gt;DATE(YEAR(I$16),MONTH(I$16)+P31,DAY(I$16)),I17,DATE(YEAR(I$16),MONTH(I$16)+P31,DAY(I$16)))</f>
        <v>0</v>
      </c>
      <c r="R32" s="72"/>
      <c r="S32" s="481"/>
      <c r="T32" s="448"/>
      <c r="U32" s="448"/>
      <c r="V32" s="448"/>
      <c r="W32" s="448"/>
      <c r="X32" s="448"/>
      <c r="Y32" s="448"/>
      <c r="Z32" s="448"/>
      <c r="AA32" s="481"/>
      <c r="AB32" s="481"/>
      <c r="AC32" s="481"/>
      <c r="AD32" s="481"/>
      <c r="AE32" s="481"/>
      <c r="AF32" s="481"/>
      <c r="AG32" s="481"/>
      <c r="AH32" s="481"/>
      <c r="AI32" s="481"/>
      <c r="AJ32" s="481"/>
      <c r="AK32" s="481"/>
      <c r="AL32" s="481"/>
      <c r="AM32" s="481"/>
      <c r="AN32" s="481"/>
      <c r="AO32" s="481"/>
      <c r="AP32" s="481"/>
    </row>
    <row r="33" spans="1:42" s="125" customFormat="1" ht="14.25" customHeight="1" x14ac:dyDescent="0.25">
      <c r="A33" s="169" t="s">
        <v>166</v>
      </c>
      <c r="B33" s="283">
        <f>B18</f>
        <v>0</v>
      </c>
      <c r="C33" s="276">
        <f t="shared" si="3"/>
        <v>0</v>
      </c>
      <c r="D33" s="277">
        <f t="shared" si="4"/>
        <v>0</v>
      </c>
      <c r="E33" s="278">
        <f t="shared" si="5"/>
        <v>0</v>
      </c>
      <c r="F33" s="279" t="str">
        <f t="shared" si="6"/>
        <v/>
      </c>
      <c r="G33" s="278">
        <f>$H$47</f>
        <v>0</v>
      </c>
      <c r="H33" s="278" t="str">
        <f t="shared" si="7"/>
        <v/>
      </c>
      <c r="I33" s="278" t="str">
        <f>IF($I$37&gt;0,MIN(H18,(H18/$H$22)*I$37),"")</f>
        <v/>
      </c>
      <c r="J33" s="279" t="str">
        <f t="shared" si="8"/>
        <v/>
      </c>
      <c r="K33" s="282"/>
      <c r="L33" s="278">
        <f t="shared" si="9"/>
        <v>0</v>
      </c>
      <c r="N33" s="74"/>
      <c r="O33" s="206">
        <f>IF($K18=0,0,IF($K18&lt;$F47,$K18,$F$47))</f>
        <v>0</v>
      </c>
      <c r="P33" s="204"/>
      <c r="Q33" s="207">
        <f>IF(I18&gt;DATE(YEAR(I$16),MONTH(I$16)+P31+P32,DAY(I$16)),I18,DATE(YEAR(I$16),MONTH(I$16)+P31+P$32,DAY(I$16)))</f>
        <v>0</v>
      </c>
      <c r="R33" s="72"/>
      <c r="S33" s="481"/>
      <c r="T33" s="448"/>
      <c r="U33" s="448"/>
      <c r="V33" s="448"/>
      <c r="W33" s="448"/>
      <c r="X33" s="448"/>
      <c r="Y33" s="448"/>
      <c r="Z33" s="448"/>
      <c r="AA33" s="481"/>
      <c r="AB33" s="481"/>
      <c r="AC33" s="481"/>
      <c r="AD33" s="481"/>
      <c r="AE33" s="481"/>
      <c r="AF33" s="481"/>
      <c r="AG33" s="481"/>
      <c r="AH33" s="481"/>
      <c r="AI33" s="481"/>
      <c r="AJ33" s="481"/>
      <c r="AK33" s="481"/>
      <c r="AL33" s="481"/>
      <c r="AM33" s="481"/>
      <c r="AN33" s="481"/>
      <c r="AO33" s="481"/>
      <c r="AP33" s="481"/>
    </row>
    <row r="34" spans="1:42" s="125" customFormat="1" ht="14.25" customHeight="1" x14ac:dyDescent="0.25">
      <c r="A34" s="169" t="s">
        <v>167</v>
      </c>
      <c r="B34" s="283">
        <f>$B$19</f>
        <v>0</v>
      </c>
      <c r="C34" s="276">
        <f t="shared" si="3"/>
        <v>0</v>
      </c>
      <c r="D34" s="277">
        <f t="shared" si="4"/>
        <v>0</v>
      </c>
      <c r="E34" s="278">
        <f t="shared" si="5"/>
        <v>0</v>
      </c>
      <c r="F34" s="279" t="str">
        <f t="shared" si="6"/>
        <v/>
      </c>
      <c r="G34" s="278">
        <f>$H$49</f>
        <v>0</v>
      </c>
      <c r="H34" s="278" t="str">
        <f t="shared" si="7"/>
        <v/>
      </c>
      <c r="I34" s="278" t="str">
        <f>IF($I$37&gt;0,MIN(H19,(H19/$H$22)*I$37),"")</f>
        <v/>
      </c>
      <c r="J34" s="279" t="str">
        <f t="shared" si="8"/>
        <v/>
      </c>
      <c r="K34" s="282"/>
      <c r="L34" s="278">
        <f t="shared" si="9"/>
        <v>0</v>
      </c>
      <c r="N34" s="74"/>
      <c r="O34" s="206">
        <f>IF($L19=0,0,IF($L19&lt;$F49,$L19,$F$49))</f>
        <v>0</v>
      </c>
      <c r="P34" s="204"/>
      <c r="Q34" s="207">
        <f>IF(I19&gt;DATE(YEAR(I$16),MONTH(I$16)+P$31+P$32+P33,DAY(I$16)),I19,DATE(YEAR(I$16),MONTH(I$16)+P$31+P$32+P33,DAY(I$16)))</f>
        <v>0</v>
      </c>
      <c r="R34" s="72"/>
      <c r="S34" s="481"/>
      <c r="T34" s="448"/>
      <c r="U34" s="448"/>
      <c r="V34" s="448"/>
      <c r="W34" s="448"/>
      <c r="X34" s="448"/>
      <c r="Y34" s="448"/>
      <c r="Z34" s="448"/>
      <c r="AA34" s="481"/>
      <c r="AB34" s="481"/>
      <c r="AC34" s="481"/>
      <c r="AD34" s="481"/>
      <c r="AE34" s="481"/>
      <c r="AF34" s="481"/>
      <c r="AG34" s="481"/>
      <c r="AH34" s="481"/>
      <c r="AI34" s="481"/>
      <c r="AJ34" s="481"/>
      <c r="AK34" s="481"/>
      <c r="AL34" s="481"/>
      <c r="AM34" s="481"/>
      <c r="AN34" s="481"/>
      <c r="AO34" s="481"/>
      <c r="AP34" s="481"/>
    </row>
    <row r="35" spans="1:42" s="125" customFormat="1" ht="14.25" customHeight="1" x14ac:dyDescent="0.25">
      <c r="A35" s="170" t="s">
        <v>168</v>
      </c>
      <c r="B35" s="283">
        <f>$B$20</f>
        <v>0</v>
      </c>
      <c r="C35" s="276">
        <f t="shared" si="3"/>
        <v>0</v>
      </c>
      <c r="D35" s="277">
        <f t="shared" si="4"/>
        <v>0</v>
      </c>
      <c r="E35" s="278">
        <f t="shared" si="5"/>
        <v>0</v>
      </c>
      <c r="F35" s="279" t="str">
        <f t="shared" si="6"/>
        <v/>
      </c>
      <c r="G35" s="278">
        <f>$H$51</f>
        <v>0</v>
      </c>
      <c r="H35" s="278" t="str">
        <f t="shared" si="7"/>
        <v/>
      </c>
      <c r="I35" s="278" t="str">
        <f>IF($I$37&gt;0,MIN(H20,(H20/$H$22)*I$37),"")</f>
        <v/>
      </c>
      <c r="J35" s="279" t="str">
        <f t="shared" si="8"/>
        <v/>
      </c>
      <c r="K35" s="282"/>
      <c r="L35" s="278">
        <f t="shared" si="9"/>
        <v>0</v>
      </c>
      <c r="N35" s="74"/>
      <c r="O35" s="206">
        <f>IF($L20=0,0,IF($L20&lt;$F51,$L20,$F$51))</f>
        <v>0</v>
      </c>
      <c r="P35" s="204"/>
      <c r="Q35" s="207">
        <f>IF(I20&gt;DATE(YEAR(I$16),MONTH(I$16)+P$31+P$32+P33+P34,DAY(I$16)),I20,DATE(YEAR(I$16),MONTH(I$16)+P$31+P$32+P33+P34,DAY(I$16)))</f>
        <v>0</v>
      </c>
      <c r="R35" s="72"/>
      <c r="S35" s="481"/>
      <c r="T35" s="448"/>
      <c r="U35" s="448"/>
      <c r="V35" s="448"/>
      <c r="W35" s="448"/>
      <c r="X35" s="448"/>
      <c r="Y35" s="448"/>
      <c r="Z35" s="448"/>
      <c r="AA35" s="481"/>
      <c r="AB35" s="481"/>
      <c r="AC35" s="481"/>
      <c r="AD35" s="481"/>
      <c r="AE35" s="481"/>
      <c r="AF35" s="481"/>
      <c r="AG35" s="481"/>
      <c r="AH35" s="481"/>
      <c r="AI35" s="481"/>
      <c r="AJ35" s="481"/>
      <c r="AK35" s="481"/>
      <c r="AL35" s="481"/>
      <c r="AM35" s="481"/>
      <c r="AN35" s="481"/>
      <c r="AO35" s="481"/>
      <c r="AP35" s="481"/>
    </row>
    <row r="36" spans="1:42" s="125" customFormat="1" ht="14.25" customHeight="1" thickBot="1" x14ac:dyDescent="0.3">
      <c r="A36" s="171" t="s">
        <v>169</v>
      </c>
      <c r="B36" s="284">
        <f>$B$21</f>
        <v>0</v>
      </c>
      <c r="C36" s="280">
        <f t="shared" si="3"/>
        <v>0</v>
      </c>
      <c r="D36" s="282">
        <f t="shared" si="4"/>
        <v>0</v>
      </c>
      <c r="E36" s="278">
        <f t="shared" si="5"/>
        <v>0</v>
      </c>
      <c r="F36" s="279" t="str">
        <f t="shared" si="6"/>
        <v/>
      </c>
      <c r="G36" s="278">
        <f>$H$53</f>
        <v>0</v>
      </c>
      <c r="H36" s="278" t="str">
        <f t="shared" si="7"/>
        <v/>
      </c>
      <c r="I36" s="278" t="str">
        <f>IF($I$37&gt;0,MIN(H21,(H21/$H$22)*I$37),"")</f>
        <v/>
      </c>
      <c r="J36" s="279" t="str">
        <f t="shared" si="8"/>
        <v/>
      </c>
      <c r="K36" s="282"/>
      <c r="L36" s="278">
        <f t="shared" si="9"/>
        <v>0</v>
      </c>
      <c r="N36" s="74"/>
      <c r="O36" s="206">
        <f>IF($L21=0,0,IF($L21&lt;$F53,$L21,$F$53))</f>
        <v>0</v>
      </c>
      <c r="P36" s="204"/>
      <c r="Q36" s="207">
        <f>IF(I21&gt;DATE(YEAR(I$16),MONTH(I$16)+P$31+P$32+P33+P34+P35,DAY(I$16)),I21,DATE(YEAR(I$16),MONTH(I$16)+P$31+P$32+P33+P34+P35,DAY(I$16)))</f>
        <v>0</v>
      </c>
      <c r="R36" s="72"/>
      <c r="S36" s="481"/>
      <c r="T36" s="448"/>
      <c r="U36" s="448"/>
      <c r="V36" s="448"/>
      <c r="W36" s="448"/>
      <c r="X36" s="448"/>
      <c r="Y36" s="448"/>
      <c r="Z36" s="448"/>
      <c r="AA36" s="481"/>
      <c r="AB36" s="481"/>
      <c r="AC36" s="481"/>
      <c r="AD36" s="481"/>
      <c r="AE36" s="481"/>
      <c r="AF36" s="481"/>
      <c r="AG36" s="481"/>
      <c r="AH36" s="481"/>
      <c r="AI36" s="481"/>
      <c r="AJ36" s="481"/>
      <c r="AK36" s="481"/>
      <c r="AL36" s="481"/>
      <c r="AM36" s="481"/>
      <c r="AN36" s="481"/>
      <c r="AO36" s="481"/>
      <c r="AP36" s="481"/>
    </row>
    <row r="37" spans="1:42" s="125" customFormat="1" ht="20.399999999999999" customHeight="1" thickBot="1" x14ac:dyDescent="0.3">
      <c r="A37" s="172"/>
      <c r="B37" s="173" t="s">
        <v>189</v>
      </c>
      <c r="C37" s="285">
        <f>IF(E37-(E5*0.2)&lt;$A$59,E37,IF(AND(A$58=15,J$58=4),IF((E5*0.2)&lt;E37,ROUND(E5*0.2,0),E37),IF((E5*0.2)&lt;E37,ROUND(E5*0.2,0),E37)))</f>
        <v>0</v>
      </c>
      <c r="D37" s="285">
        <f t="shared" si="4"/>
        <v>0</v>
      </c>
      <c r="E37" s="286">
        <f>MIN(E22,MIN(F82:F84))</f>
        <v>0</v>
      </c>
      <c r="F37" s="287">
        <f>SUM(F31:F36)</f>
        <v>0</v>
      </c>
      <c r="G37" s="286">
        <f>SUM(G31:G36)</f>
        <v>0</v>
      </c>
      <c r="H37" s="286">
        <f>MIN(H60:H77,G22)</f>
        <v>0</v>
      </c>
      <c r="I37" s="286">
        <f>IF($G$37=0,0,IF(H$22&lt;MAX(I$60:I$63),H$22,MAX(I$60:I$63)))</f>
        <v>0</v>
      </c>
      <c r="J37" s="287">
        <f>SUM(J31:J36)</f>
        <v>0</v>
      </c>
      <c r="K37" s="286">
        <f>G37+I37+H37</f>
        <v>0</v>
      </c>
      <c r="L37" s="503">
        <f>SUM(L31:L36)</f>
        <v>0</v>
      </c>
      <c r="N37" s="74"/>
      <c r="O37" s="72"/>
      <c r="P37" s="72"/>
      <c r="Q37" s="72"/>
      <c r="R37" s="72"/>
      <c r="S37" s="481"/>
      <c r="T37" s="448"/>
      <c r="U37" s="448"/>
      <c r="V37" s="448"/>
      <c r="W37" s="448"/>
      <c r="X37" s="448"/>
      <c r="Y37" s="448"/>
      <c r="Z37" s="448"/>
      <c r="AA37" s="481"/>
      <c r="AB37" s="481"/>
      <c r="AC37" s="481"/>
      <c r="AD37" s="481"/>
      <c r="AE37" s="481"/>
      <c r="AF37" s="481"/>
      <c r="AG37" s="481"/>
      <c r="AH37" s="481"/>
      <c r="AI37" s="481"/>
      <c r="AJ37" s="481"/>
      <c r="AK37" s="481"/>
      <c r="AL37" s="481"/>
      <c r="AM37" s="481"/>
      <c r="AN37" s="481"/>
    </row>
    <row r="38" spans="1:42" s="125" customFormat="1" ht="15.6" hidden="1" thickBot="1" x14ac:dyDescent="0.3">
      <c r="A38" s="100"/>
      <c r="B38" s="74"/>
      <c r="C38" s="74"/>
      <c r="D38" s="97"/>
      <c r="E38" s="98"/>
      <c r="F38" s="501"/>
      <c r="G38" s="96"/>
      <c r="H38" s="95"/>
      <c r="I38" s="74"/>
      <c r="J38" s="74"/>
      <c r="K38" s="94"/>
      <c r="L38" s="73"/>
      <c r="M38" s="72"/>
      <c r="N38" s="72"/>
      <c r="O38" s="72"/>
      <c r="P38" s="72"/>
      <c r="Q38" s="72"/>
      <c r="R38" s="72"/>
      <c r="S38" s="481"/>
      <c r="T38" s="448"/>
      <c r="U38" s="448"/>
      <c r="V38" s="448"/>
      <c r="W38" s="448"/>
      <c r="X38" s="448"/>
      <c r="Y38" s="448"/>
      <c r="Z38" s="448"/>
      <c r="AA38" s="481"/>
      <c r="AB38" s="481"/>
      <c r="AC38" s="481"/>
      <c r="AD38" s="481"/>
      <c r="AE38" s="481"/>
      <c r="AF38" s="481"/>
      <c r="AG38" s="481"/>
      <c r="AH38" s="481"/>
      <c r="AI38" s="481"/>
      <c r="AJ38" s="481"/>
      <c r="AK38" s="481"/>
      <c r="AL38" s="481"/>
      <c r="AM38" s="481"/>
      <c r="AN38" s="481"/>
      <c r="AO38" s="481"/>
      <c r="AP38" s="481"/>
    </row>
    <row r="39" spans="1:42" s="488" customFormat="1" ht="23.1" customHeight="1" thickBot="1" x14ac:dyDescent="0.3">
      <c r="A39" s="143"/>
      <c r="B39" s="572" t="str">
        <f>IF(K58=1,K74,IF(K58=2,K75,"Mesure incitative"))</f>
        <v>Mesure incitative</v>
      </c>
      <c r="C39" s="573"/>
      <c r="D39" s="574"/>
      <c r="E39" s="288">
        <f>MIN(E9,MAX(N(I83),N(I84)))</f>
        <v>0</v>
      </c>
      <c r="F39" s="287">
        <f>IF($E$5=0,0,E39/$E$5)</f>
        <v>0</v>
      </c>
      <c r="G39" s="144"/>
      <c r="K39" s="256"/>
      <c r="L39" s="145"/>
      <c r="M39" s="146"/>
      <c r="N39" s="146"/>
      <c r="O39" s="146"/>
      <c r="P39" s="146"/>
      <c r="Q39" s="146"/>
      <c r="R39" s="146"/>
      <c r="S39" s="487"/>
      <c r="T39" s="448"/>
      <c r="U39" s="448"/>
      <c r="V39" s="448"/>
      <c r="W39" s="448"/>
      <c r="X39" s="448"/>
      <c r="Y39" s="448"/>
      <c r="Z39" s="448"/>
      <c r="AA39" s="487"/>
      <c r="AB39" s="487"/>
      <c r="AC39" s="487"/>
      <c r="AD39" s="487"/>
      <c r="AE39" s="487"/>
      <c r="AF39" s="487"/>
      <c r="AG39" s="487"/>
      <c r="AH39" s="487"/>
      <c r="AI39" s="487"/>
      <c r="AJ39" s="487"/>
      <c r="AK39" s="487"/>
      <c r="AL39" s="487"/>
      <c r="AM39" s="487"/>
      <c r="AN39" s="487"/>
      <c r="AO39" s="487"/>
      <c r="AP39" s="487"/>
    </row>
    <row r="40" spans="1:42" s="125" customFormat="1" ht="18" customHeight="1" x14ac:dyDescent="0.3">
      <c r="A40" s="266" t="s">
        <v>190</v>
      </c>
      <c r="B40" s="93"/>
      <c r="C40" s="74"/>
      <c r="D40" s="92"/>
      <c r="E40" s="92"/>
      <c r="F40" s="92"/>
      <c r="G40" s="91"/>
      <c r="H40" s="254" t="str">
        <f>IF(AND($A$58&lt;7,G37&gt;0,H22&gt;0,E5&gt;0),"DDA &amp; CMM du Distributeur / Exigence seuil:","")</f>
        <v/>
      </c>
      <c r="I40" s="255" t="str">
        <f>IF(AND($A$58&lt;7,G37&gt;0,H22&gt;0,E5&gt;0),SUM(G37,N(H37))/SUM(N(D60),N(D61),N(D62),N(D63)),"")</f>
        <v/>
      </c>
      <c r="J40" s="253"/>
      <c r="K40" s="257"/>
      <c r="L40" s="72"/>
      <c r="M40" s="72"/>
      <c r="N40" s="72"/>
      <c r="O40" s="72"/>
      <c r="P40" s="72"/>
      <c r="Q40" s="72"/>
      <c r="R40" s="72"/>
      <c r="S40" s="481"/>
      <c r="T40" s="448"/>
      <c r="U40" s="448"/>
      <c r="V40" s="448"/>
      <c r="W40" s="448"/>
      <c r="X40" s="448"/>
      <c r="Y40" s="448"/>
      <c r="Z40" s="448"/>
      <c r="AA40" s="481"/>
      <c r="AB40" s="481"/>
      <c r="AC40" s="481"/>
      <c r="AD40" s="481"/>
      <c r="AE40" s="481"/>
      <c r="AF40" s="481"/>
      <c r="AG40" s="481"/>
      <c r="AH40" s="481"/>
      <c r="AI40" s="481"/>
      <c r="AJ40" s="481"/>
      <c r="AK40" s="481"/>
      <c r="AL40" s="481"/>
      <c r="AM40" s="481"/>
      <c r="AN40" s="481"/>
      <c r="AO40" s="481"/>
    </row>
    <row r="41" spans="1:42" s="125" customFormat="1" ht="18" customHeight="1" x14ac:dyDescent="0.25"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72"/>
      <c r="M41" s="72"/>
      <c r="N41" s="72"/>
      <c r="O41" s="72"/>
      <c r="P41" s="72"/>
      <c r="Q41" s="72"/>
      <c r="R41" s="72"/>
      <c r="S41" s="481"/>
      <c r="T41" s="448"/>
      <c r="U41" s="448"/>
      <c r="V41" s="448"/>
      <c r="W41" s="448"/>
      <c r="X41" s="448"/>
      <c r="Y41" s="448"/>
      <c r="Z41" s="448"/>
      <c r="AA41" s="481"/>
      <c r="AB41" s="481"/>
      <c r="AC41" s="481"/>
      <c r="AD41" s="481"/>
      <c r="AE41" s="481"/>
      <c r="AF41" s="481"/>
      <c r="AG41" s="481"/>
      <c r="AH41" s="481"/>
      <c r="AI41" s="481"/>
      <c r="AJ41" s="481"/>
      <c r="AK41" s="481"/>
      <c r="AL41" s="481"/>
      <c r="AM41" s="481"/>
      <c r="AN41" s="481"/>
      <c r="AO41" s="481"/>
    </row>
    <row r="42" spans="1:42" s="125" customFormat="1" ht="21" customHeight="1" x14ac:dyDescent="0.25">
      <c r="A42" s="90" t="s">
        <v>191</v>
      </c>
      <c r="B42" s="89"/>
      <c r="C42" s="88"/>
      <c r="D42" s="87"/>
      <c r="E42" s="87"/>
      <c r="F42" s="87"/>
      <c r="G42" s="87"/>
      <c r="H42" s="77"/>
      <c r="I42" s="77"/>
      <c r="J42" s="77"/>
      <c r="K42" s="77"/>
      <c r="L42" s="72"/>
      <c r="M42" s="72"/>
      <c r="N42" s="72"/>
      <c r="O42" s="72"/>
      <c r="P42" s="72"/>
      <c r="Q42" s="72"/>
      <c r="R42" s="72"/>
      <c r="S42" s="481"/>
      <c r="T42" s="448"/>
      <c r="U42" s="448"/>
      <c r="V42" s="448"/>
      <c r="W42" s="448"/>
      <c r="X42" s="448"/>
      <c r="Y42" s="448"/>
      <c r="Z42" s="448"/>
      <c r="AA42" s="481"/>
      <c r="AB42" s="481"/>
      <c r="AC42" s="481"/>
      <c r="AD42" s="481"/>
      <c r="AE42" s="481"/>
      <c r="AF42" s="481"/>
      <c r="AG42" s="481"/>
      <c r="AH42" s="481"/>
      <c r="AI42" s="481"/>
      <c r="AJ42" s="481"/>
      <c r="AK42" s="481"/>
      <c r="AL42" s="481"/>
      <c r="AM42" s="481"/>
      <c r="AN42" s="481"/>
      <c r="AO42" s="481"/>
    </row>
    <row r="43" spans="1:42" s="490" customFormat="1" ht="25.5" customHeight="1" x14ac:dyDescent="0.25">
      <c r="A43" s="289" t="s">
        <v>164</v>
      </c>
      <c r="B43" s="290">
        <f>$F$16</f>
        <v>0</v>
      </c>
      <c r="C43" s="291" t="s">
        <v>60</v>
      </c>
      <c r="D43" s="292">
        <f>$K$16</f>
        <v>0</v>
      </c>
      <c r="E43" s="291" t="s">
        <v>61</v>
      </c>
      <c r="F43" s="292">
        <f>IF(A58&gt;=16,60,72)</f>
        <v>72</v>
      </c>
      <c r="G43" s="291" t="s">
        <v>62</v>
      </c>
      <c r="H43" s="290">
        <f>IF(K16&lt;F43,B43,(B43/D43)*F43)</f>
        <v>0</v>
      </c>
      <c r="I43" s="579" t="s">
        <v>192</v>
      </c>
      <c r="J43" s="580"/>
      <c r="K43" s="293">
        <f>DATE(YEAR(I16),(MONTH(I16)+F43),DAY(I16))</f>
        <v>2192</v>
      </c>
      <c r="L43" s="174"/>
      <c r="M43" s="174"/>
      <c r="N43" s="174"/>
      <c r="O43" s="174"/>
      <c r="P43" s="174"/>
      <c r="Q43" s="174"/>
      <c r="R43" s="174"/>
      <c r="S43" s="489"/>
      <c r="T43" s="448"/>
      <c r="U43" s="448"/>
      <c r="V43" s="448"/>
      <c r="W43" s="448"/>
      <c r="X43" s="448"/>
      <c r="Y43" s="448"/>
      <c r="Z43" s="448"/>
      <c r="AA43" s="489"/>
      <c r="AB43" s="489"/>
      <c r="AC43" s="489"/>
      <c r="AD43" s="489"/>
      <c r="AE43" s="489"/>
      <c r="AF43" s="489"/>
      <c r="AG43" s="489"/>
      <c r="AH43" s="489"/>
      <c r="AI43" s="489"/>
      <c r="AJ43" s="489"/>
      <c r="AK43" s="489"/>
      <c r="AL43" s="489"/>
      <c r="AM43" s="489"/>
      <c r="AN43" s="489"/>
      <c r="AO43" s="489"/>
    </row>
    <row r="44" spans="1:42" s="125" customFormat="1" ht="25.5" customHeight="1" x14ac:dyDescent="0.25">
      <c r="A44" s="294"/>
      <c r="B44" s="295" t="s">
        <v>193</v>
      </c>
      <c r="C44" s="296"/>
      <c r="D44" s="296" t="s">
        <v>194</v>
      </c>
      <c r="E44" s="297"/>
      <c r="F44" s="296" t="s">
        <v>195</v>
      </c>
      <c r="G44" s="297"/>
      <c r="H44" s="295" t="s">
        <v>196</v>
      </c>
      <c r="I44" s="298"/>
      <c r="J44" s="298"/>
      <c r="K44" s="299"/>
      <c r="L44" s="72"/>
      <c r="M44" s="72"/>
      <c r="N44" s="72"/>
      <c r="O44" s="72"/>
      <c r="P44" s="72"/>
      <c r="Q44" s="72"/>
      <c r="R44" s="72"/>
      <c r="S44" s="481"/>
      <c r="T44" s="448"/>
      <c r="U44" s="448"/>
      <c r="V44" s="448"/>
      <c r="W44" s="448"/>
      <c r="X44" s="448"/>
      <c r="Y44" s="448"/>
      <c r="Z44" s="448"/>
      <c r="AA44" s="481"/>
      <c r="AB44" s="481"/>
      <c r="AC44" s="481"/>
      <c r="AD44" s="481"/>
      <c r="AE44" s="481"/>
      <c r="AF44" s="481"/>
      <c r="AG44" s="481"/>
      <c r="AH44" s="481"/>
      <c r="AI44" s="481"/>
      <c r="AJ44" s="481"/>
      <c r="AK44" s="481"/>
      <c r="AL44" s="481"/>
      <c r="AM44" s="481"/>
      <c r="AN44" s="481"/>
      <c r="AO44" s="481"/>
    </row>
    <row r="45" spans="1:42" s="490" customFormat="1" ht="25.5" customHeight="1" x14ac:dyDescent="0.25">
      <c r="A45" s="289" t="s">
        <v>165</v>
      </c>
      <c r="B45" s="290">
        <f>$F$17</f>
        <v>0</v>
      </c>
      <c r="C45" s="291" t="s">
        <v>60</v>
      </c>
      <c r="D45" s="292">
        <f>$K$17</f>
        <v>0</v>
      </c>
      <c r="E45" s="291" t="s">
        <v>61</v>
      </c>
      <c r="F45" s="300">
        <f>IF((YEAR(K$43)-YEAR(Q32))*12+MONTH(K$43)-MONTH(Q32)&lt;0,0,(YEAR(K$43)-YEAR(Q32))*12+MONTH(K$43)-MONTH(Q32))</f>
        <v>71</v>
      </c>
      <c r="G45" s="291" t="s">
        <v>62</v>
      </c>
      <c r="H45" s="290">
        <f>IF(F17=0,0,IF(D45&lt;F45,B45,(B45/D45)*F45))</f>
        <v>0</v>
      </c>
      <c r="I45" s="301"/>
      <c r="J45" s="301"/>
      <c r="K45" s="302"/>
      <c r="L45" s="174"/>
      <c r="M45" s="174"/>
      <c r="N45" s="174"/>
      <c r="O45" s="174"/>
      <c r="P45" s="174"/>
      <c r="Q45" s="174"/>
      <c r="R45" s="174"/>
      <c r="S45" s="489"/>
      <c r="T45" s="448"/>
      <c r="U45" s="448"/>
      <c r="V45" s="448"/>
      <c r="W45" s="448"/>
      <c r="X45" s="448"/>
      <c r="Y45" s="448"/>
      <c r="Z45" s="448"/>
      <c r="AA45" s="489"/>
      <c r="AB45" s="489"/>
      <c r="AC45" s="489"/>
      <c r="AD45" s="489"/>
      <c r="AE45" s="489"/>
      <c r="AF45" s="489"/>
      <c r="AG45" s="489"/>
      <c r="AH45" s="489"/>
      <c r="AI45" s="489"/>
      <c r="AJ45" s="489"/>
      <c r="AK45" s="489"/>
      <c r="AL45" s="489"/>
      <c r="AM45" s="489"/>
      <c r="AN45" s="489"/>
      <c r="AO45" s="489"/>
    </row>
    <row r="46" spans="1:42" s="125" customFormat="1" ht="25.5" customHeight="1" x14ac:dyDescent="0.25">
      <c r="A46" s="303"/>
      <c r="B46" s="295" t="s">
        <v>193</v>
      </c>
      <c r="C46" s="296"/>
      <c r="D46" s="296" t="s">
        <v>194</v>
      </c>
      <c r="E46" s="297"/>
      <c r="F46" s="296" t="s">
        <v>195</v>
      </c>
      <c r="G46" s="297"/>
      <c r="H46" s="295" t="s">
        <v>196</v>
      </c>
      <c r="I46" s="298"/>
      <c r="J46" s="298"/>
      <c r="K46" s="299"/>
      <c r="L46" s="72"/>
      <c r="M46" s="72"/>
      <c r="N46" s="72"/>
      <c r="O46" s="72"/>
      <c r="P46" s="72"/>
      <c r="Q46" s="72"/>
      <c r="R46" s="72"/>
      <c r="S46" s="481"/>
      <c r="T46" s="448"/>
      <c r="U46" s="448"/>
      <c r="V46" s="448"/>
      <c r="W46" s="448"/>
      <c r="X46" s="448"/>
      <c r="Y46" s="448"/>
      <c r="Z46" s="448"/>
      <c r="AA46" s="481"/>
      <c r="AB46" s="481"/>
      <c r="AC46" s="481"/>
      <c r="AD46" s="481"/>
      <c r="AE46" s="481"/>
      <c r="AF46" s="481"/>
      <c r="AG46" s="481"/>
      <c r="AH46" s="481"/>
      <c r="AI46" s="481"/>
      <c r="AJ46" s="481"/>
      <c r="AK46" s="481"/>
      <c r="AL46" s="481"/>
      <c r="AM46" s="481"/>
      <c r="AN46" s="481"/>
      <c r="AO46" s="481"/>
    </row>
    <row r="47" spans="1:42" s="490" customFormat="1" ht="25.5" customHeight="1" x14ac:dyDescent="0.25">
      <c r="A47" s="289" t="s">
        <v>166</v>
      </c>
      <c r="B47" s="290">
        <f>$F$18</f>
        <v>0</v>
      </c>
      <c r="C47" s="291" t="s">
        <v>60</v>
      </c>
      <c r="D47" s="292">
        <f>$K$18</f>
        <v>0</v>
      </c>
      <c r="E47" s="291" t="s">
        <v>61</v>
      </c>
      <c r="F47" s="300">
        <f>IF((YEAR(K$43)-YEAR(Q33))*12+MONTH(K$43)-MONTH(Q33)&lt;0,0,(YEAR(K$43)-YEAR(Q33))*12+MONTH(K$43)-MONTH(Q33))</f>
        <v>71</v>
      </c>
      <c r="G47" s="291" t="s">
        <v>62</v>
      </c>
      <c r="H47" s="290">
        <f>IF(F18=0,0,IF(D47&lt;F47,B47,(B47/D47)*F47))</f>
        <v>0</v>
      </c>
      <c r="I47" s="301"/>
      <c r="J47" s="301"/>
      <c r="K47" s="302"/>
      <c r="L47" s="174"/>
      <c r="M47" s="174"/>
      <c r="N47" s="174"/>
      <c r="O47" s="174"/>
      <c r="P47" s="174"/>
      <c r="Q47" s="174"/>
      <c r="R47" s="174"/>
      <c r="S47" s="489"/>
      <c r="T47" s="448"/>
      <c r="U47" s="448"/>
      <c r="V47" s="448"/>
      <c r="W47" s="448"/>
      <c r="X47" s="448"/>
      <c r="Y47" s="448"/>
      <c r="Z47" s="448"/>
      <c r="AA47" s="489"/>
      <c r="AB47" s="489"/>
      <c r="AC47" s="489"/>
      <c r="AD47" s="489"/>
      <c r="AE47" s="489"/>
      <c r="AF47" s="489"/>
      <c r="AG47" s="489"/>
      <c r="AH47" s="489"/>
      <c r="AI47" s="489"/>
      <c r="AJ47" s="489"/>
      <c r="AK47" s="489"/>
      <c r="AL47" s="489"/>
      <c r="AM47" s="489"/>
      <c r="AN47" s="489"/>
      <c r="AO47" s="489"/>
    </row>
    <row r="48" spans="1:42" s="125" customFormat="1" ht="25.5" customHeight="1" x14ac:dyDescent="0.25">
      <c r="A48" s="304"/>
      <c r="B48" s="295" t="s">
        <v>193</v>
      </c>
      <c r="C48" s="296"/>
      <c r="D48" s="296" t="s">
        <v>197</v>
      </c>
      <c r="E48" s="297"/>
      <c r="F48" s="296" t="s">
        <v>195</v>
      </c>
      <c r="G48" s="297"/>
      <c r="H48" s="295" t="s">
        <v>196</v>
      </c>
      <c r="I48" s="298"/>
      <c r="J48" s="298"/>
      <c r="K48" s="299"/>
      <c r="L48" s="72"/>
      <c r="M48" s="72"/>
      <c r="N48" s="72"/>
      <c r="O48" s="72"/>
      <c r="P48" s="72"/>
      <c r="Q48" s="72"/>
      <c r="R48" s="72"/>
      <c r="S48" s="481"/>
      <c r="T48" s="448"/>
      <c r="U48" s="448"/>
      <c r="V48" s="448"/>
      <c r="W48" s="448"/>
      <c r="X48" s="448"/>
      <c r="Y48" s="448"/>
      <c r="Z48" s="448"/>
      <c r="AA48" s="481"/>
      <c r="AB48" s="481"/>
      <c r="AC48" s="481"/>
      <c r="AD48" s="481"/>
      <c r="AE48" s="481"/>
      <c r="AF48" s="481"/>
      <c r="AG48" s="481"/>
      <c r="AH48" s="481"/>
      <c r="AI48" s="481"/>
      <c r="AJ48" s="481"/>
      <c r="AK48" s="481"/>
      <c r="AL48" s="481"/>
      <c r="AM48" s="481"/>
      <c r="AN48" s="481"/>
      <c r="AO48" s="481"/>
    </row>
    <row r="49" spans="1:42" s="490" customFormat="1" ht="25.5" customHeight="1" x14ac:dyDescent="0.25">
      <c r="A49" s="289" t="s">
        <v>167</v>
      </c>
      <c r="B49" s="290">
        <f>$F$19</f>
        <v>0</v>
      </c>
      <c r="C49" s="291" t="s">
        <v>60</v>
      </c>
      <c r="D49" s="300">
        <f>$K$19</f>
        <v>0</v>
      </c>
      <c r="E49" s="291" t="s">
        <v>61</v>
      </c>
      <c r="F49" s="300">
        <f>IF((YEAR(K$43)-YEAR(Q34))*12+MONTH(K$43)-MONTH(Q34)&lt;0,0,(YEAR(K$43)-YEAR(Q34))*12+MONTH(K$43)-MONTH(Q34))</f>
        <v>71</v>
      </c>
      <c r="G49" s="291" t="s">
        <v>62</v>
      </c>
      <c r="H49" s="290">
        <f>IF(F19=0,0,IF(D49&lt;F49,B49,(B49/D49)*F49))</f>
        <v>0</v>
      </c>
      <c r="I49" s="301"/>
      <c r="J49" s="301"/>
      <c r="K49" s="302"/>
      <c r="L49" s="174"/>
      <c r="M49" s="174"/>
      <c r="N49" s="174"/>
      <c r="O49" s="174"/>
      <c r="P49" s="174"/>
      <c r="Q49" s="174"/>
      <c r="R49" s="174"/>
      <c r="S49" s="489"/>
      <c r="T49" s="448"/>
      <c r="U49" s="448"/>
      <c r="V49" s="448"/>
      <c r="W49" s="448"/>
      <c r="X49" s="448"/>
      <c r="Y49" s="448"/>
      <c r="Z49" s="448"/>
      <c r="AA49" s="489"/>
      <c r="AB49" s="489"/>
      <c r="AC49" s="489"/>
      <c r="AD49" s="489"/>
      <c r="AE49" s="489"/>
      <c r="AF49" s="489"/>
      <c r="AG49" s="489"/>
      <c r="AH49" s="489"/>
      <c r="AI49" s="489"/>
      <c r="AJ49" s="489"/>
      <c r="AK49" s="489"/>
      <c r="AL49" s="489"/>
      <c r="AM49" s="489"/>
      <c r="AN49" s="489"/>
      <c r="AO49" s="489"/>
    </row>
    <row r="50" spans="1:42" s="125" customFormat="1" ht="30.6" customHeight="1" x14ac:dyDescent="0.25">
      <c r="A50" s="294"/>
      <c r="B50" s="295" t="s">
        <v>193</v>
      </c>
      <c r="C50" s="296"/>
      <c r="D50" s="296" t="s">
        <v>197</v>
      </c>
      <c r="E50" s="297"/>
      <c r="F50" s="296" t="s">
        <v>195</v>
      </c>
      <c r="G50" s="297"/>
      <c r="H50" s="295" t="s">
        <v>196</v>
      </c>
      <c r="I50" s="298"/>
      <c r="J50" s="298"/>
      <c r="K50" s="299"/>
      <c r="L50" s="72"/>
      <c r="M50" s="72"/>
      <c r="N50" s="72"/>
      <c r="O50" s="72"/>
      <c r="P50" s="72"/>
      <c r="Q50" s="72"/>
      <c r="R50" s="72"/>
      <c r="S50" s="481"/>
      <c r="T50" s="448"/>
      <c r="U50" s="448"/>
      <c r="V50" s="448"/>
      <c r="W50" s="448"/>
      <c r="X50" s="448"/>
      <c r="Y50" s="448"/>
      <c r="Z50" s="448"/>
      <c r="AA50" s="481"/>
      <c r="AB50" s="481"/>
      <c r="AC50" s="481"/>
      <c r="AD50" s="481"/>
      <c r="AE50" s="481"/>
      <c r="AF50" s="481"/>
      <c r="AG50" s="481"/>
      <c r="AH50" s="481"/>
      <c r="AI50" s="481"/>
      <c r="AJ50" s="481"/>
      <c r="AK50" s="481"/>
      <c r="AL50" s="481"/>
      <c r="AM50" s="481"/>
      <c r="AN50" s="481"/>
      <c r="AO50" s="481"/>
    </row>
    <row r="51" spans="1:42" s="490" customFormat="1" ht="26.4" customHeight="1" x14ac:dyDescent="0.25">
      <c r="A51" s="289" t="s">
        <v>168</v>
      </c>
      <c r="B51" s="290">
        <f>$F$20</f>
        <v>0</v>
      </c>
      <c r="C51" s="291" t="s">
        <v>60</v>
      </c>
      <c r="D51" s="300">
        <f>$K$20</f>
        <v>0</v>
      </c>
      <c r="E51" s="291" t="s">
        <v>61</v>
      </c>
      <c r="F51" s="300">
        <f>IF((YEAR(K$43)-YEAR(Q35))*12+MONTH(K$43)-MONTH(Q35)&lt;0,0,(YEAR(K$43)-YEAR(Q35))*12+MONTH(K$43)-MONTH(Q35))</f>
        <v>71</v>
      </c>
      <c r="G51" s="291" t="s">
        <v>62</v>
      </c>
      <c r="H51" s="290">
        <f>IF(F20=0,0,IF(D51&lt;F51,B51,(B51/D51)*F51))</f>
        <v>0</v>
      </c>
      <c r="I51" s="301"/>
      <c r="J51" s="301"/>
      <c r="K51" s="302"/>
      <c r="L51" s="174"/>
      <c r="M51" s="174"/>
      <c r="N51" s="174"/>
      <c r="O51" s="174"/>
      <c r="P51" s="174"/>
      <c r="Q51" s="174"/>
      <c r="R51" s="174"/>
      <c r="S51" s="489"/>
      <c r="T51" s="489"/>
      <c r="U51" s="489"/>
      <c r="V51" s="489"/>
      <c r="W51" s="489"/>
      <c r="X51" s="489"/>
      <c r="Y51" s="489"/>
      <c r="Z51" s="489"/>
      <c r="AA51" s="489"/>
      <c r="AB51" s="489"/>
      <c r="AC51" s="489"/>
      <c r="AD51" s="489"/>
      <c r="AE51" s="489"/>
      <c r="AF51" s="489"/>
      <c r="AG51" s="489"/>
      <c r="AH51" s="489"/>
      <c r="AI51" s="489"/>
      <c r="AJ51" s="489"/>
      <c r="AK51" s="489"/>
      <c r="AL51" s="489"/>
      <c r="AM51" s="489"/>
      <c r="AN51" s="489"/>
      <c r="AO51" s="489"/>
    </row>
    <row r="52" spans="1:42" s="125" customFormat="1" ht="26.4" customHeight="1" x14ac:dyDescent="0.25">
      <c r="A52" s="303"/>
      <c r="B52" s="295" t="s">
        <v>193</v>
      </c>
      <c r="C52" s="296"/>
      <c r="D52" s="296" t="s">
        <v>197</v>
      </c>
      <c r="E52" s="297"/>
      <c r="F52" s="296" t="s">
        <v>195</v>
      </c>
      <c r="G52" s="297"/>
      <c r="H52" s="305" t="s">
        <v>196</v>
      </c>
      <c r="I52" s="298"/>
      <c r="J52" s="298"/>
      <c r="K52" s="299"/>
      <c r="L52" s="72"/>
      <c r="M52" s="72"/>
      <c r="N52" s="72"/>
      <c r="O52" s="72"/>
      <c r="P52" s="72"/>
      <c r="Q52" s="72"/>
      <c r="R52" s="72"/>
      <c r="S52" s="481"/>
      <c r="T52" s="481"/>
      <c r="U52" s="481"/>
      <c r="V52" s="481"/>
      <c r="W52" s="481"/>
      <c r="X52" s="481"/>
      <c r="Y52" s="481"/>
      <c r="Z52" s="481"/>
      <c r="AA52" s="481"/>
      <c r="AB52" s="481"/>
      <c r="AC52" s="481"/>
      <c r="AD52" s="481"/>
      <c r="AE52" s="481"/>
      <c r="AF52" s="481"/>
      <c r="AG52" s="481"/>
      <c r="AH52" s="481"/>
      <c r="AI52" s="481"/>
      <c r="AJ52" s="481"/>
      <c r="AK52" s="481"/>
      <c r="AL52" s="481"/>
      <c r="AM52" s="481"/>
      <c r="AN52" s="481"/>
      <c r="AO52" s="481"/>
    </row>
    <row r="53" spans="1:42" s="490" customFormat="1" ht="26.4" customHeight="1" x14ac:dyDescent="0.25">
      <c r="A53" s="289" t="s">
        <v>169</v>
      </c>
      <c r="B53" s="290">
        <f>$F$21</f>
        <v>0</v>
      </c>
      <c r="C53" s="291" t="s">
        <v>60</v>
      </c>
      <c r="D53" s="300">
        <f>$K$21</f>
        <v>0</v>
      </c>
      <c r="E53" s="291" t="s">
        <v>61</v>
      </c>
      <c r="F53" s="300">
        <f>IF((YEAR(K$43)-YEAR(Q36))*12+MONTH(K$43)-MONTH(Q36)&lt;0,0,(YEAR(K$43)-YEAR(Q36))*12+MONTH(K$43)-MONTH(Q36))</f>
        <v>71</v>
      </c>
      <c r="G53" s="291" t="s">
        <v>62</v>
      </c>
      <c r="H53" s="290">
        <f>IF(F21=0,0,IF(D53&lt;F53,B53,(B53/D53)*F53))</f>
        <v>0</v>
      </c>
      <c r="I53" s="301"/>
      <c r="J53" s="301"/>
      <c r="K53" s="302"/>
      <c r="L53" s="174"/>
      <c r="M53" s="174"/>
      <c r="N53" s="174"/>
      <c r="O53" s="174"/>
      <c r="P53" s="174"/>
      <c r="Q53" s="174"/>
      <c r="R53" s="174"/>
      <c r="S53" s="489"/>
      <c r="T53" s="489"/>
      <c r="U53" s="489"/>
      <c r="V53" s="489"/>
      <c r="W53" s="489"/>
      <c r="X53" s="489"/>
      <c r="Y53" s="489"/>
      <c r="Z53" s="489"/>
      <c r="AA53" s="489"/>
      <c r="AB53" s="489"/>
      <c r="AC53" s="489"/>
      <c r="AD53" s="489"/>
      <c r="AE53" s="489"/>
      <c r="AF53" s="489"/>
      <c r="AG53" s="489"/>
      <c r="AH53" s="489"/>
      <c r="AI53" s="489"/>
      <c r="AJ53" s="489"/>
      <c r="AK53" s="489"/>
      <c r="AL53" s="489"/>
      <c r="AM53" s="489"/>
      <c r="AN53" s="489"/>
      <c r="AO53" s="489"/>
    </row>
    <row r="54" spans="1:42" s="125" customFormat="1" ht="26.4" customHeight="1" x14ac:dyDescent="0.25">
      <c r="A54" s="306"/>
      <c r="B54" s="307" t="s">
        <v>193</v>
      </c>
      <c r="C54" s="308"/>
      <c r="D54" s="308" t="s">
        <v>197</v>
      </c>
      <c r="E54" s="309"/>
      <c r="F54" s="308" t="s">
        <v>195</v>
      </c>
      <c r="G54" s="309"/>
      <c r="H54" s="307" t="s">
        <v>196</v>
      </c>
      <c r="I54" s="310"/>
      <c r="J54" s="310"/>
      <c r="K54" s="311"/>
      <c r="L54" s="72"/>
      <c r="M54" s="72"/>
      <c r="N54" s="72"/>
      <c r="O54" s="72"/>
      <c r="P54" s="72"/>
      <c r="Q54" s="72"/>
      <c r="R54" s="72"/>
      <c r="S54" s="481"/>
      <c r="T54" s="481"/>
      <c r="U54" s="481"/>
      <c r="V54" s="481"/>
      <c r="W54" s="481"/>
      <c r="X54" s="481"/>
      <c r="Y54" s="481"/>
      <c r="Z54" s="481"/>
      <c r="AA54" s="481"/>
      <c r="AB54" s="481"/>
      <c r="AC54" s="481"/>
      <c r="AD54" s="481"/>
      <c r="AE54" s="481"/>
      <c r="AF54" s="481"/>
      <c r="AG54" s="481"/>
      <c r="AH54" s="481"/>
      <c r="AI54" s="481"/>
      <c r="AJ54" s="481"/>
      <c r="AK54" s="481"/>
      <c r="AL54" s="481"/>
      <c r="AM54" s="481"/>
      <c r="AN54" s="481"/>
      <c r="AO54" s="481"/>
    </row>
    <row r="55" spans="1:42" s="125" customFormat="1" ht="16.5" hidden="1" customHeight="1" x14ac:dyDescent="0.25">
      <c r="A55" s="85"/>
      <c r="B55" s="83"/>
      <c r="C55" s="85"/>
      <c r="D55" s="85"/>
      <c r="E55" s="84"/>
      <c r="F55" s="84"/>
      <c r="G55" s="85"/>
      <c r="H55" s="84"/>
      <c r="I55" s="83"/>
      <c r="J55" s="73"/>
      <c r="K55" s="73"/>
      <c r="L55" s="73"/>
      <c r="M55" s="72"/>
      <c r="N55" s="72"/>
      <c r="O55" s="72"/>
      <c r="P55" s="72"/>
      <c r="Q55" s="72"/>
      <c r="R55" s="72"/>
      <c r="S55" s="481"/>
      <c r="T55" s="481"/>
      <c r="U55" s="481"/>
      <c r="V55" s="481"/>
      <c r="W55" s="481"/>
      <c r="X55" s="481"/>
      <c r="Y55" s="481"/>
      <c r="Z55" s="481"/>
      <c r="AA55" s="481"/>
      <c r="AB55" s="481"/>
      <c r="AC55" s="481"/>
      <c r="AD55" s="481"/>
      <c r="AE55" s="481"/>
      <c r="AF55" s="481"/>
      <c r="AG55" s="481"/>
      <c r="AH55" s="481"/>
      <c r="AI55" s="481"/>
      <c r="AJ55" s="481"/>
      <c r="AK55" s="481"/>
      <c r="AL55" s="481"/>
      <c r="AM55" s="481"/>
      <c r="AN55" s="481"/>
      <c r="AO55" s="481"/>
      <c r="AP55" s="481"/>
    </row>
    <row r="56" spans="1:42" s="125" customFormat="1" ht="16.5" customHeight="1" collapsed="1" x14ac:dyDescent="0.25">
      <c r="A56" s="85"/>
      <c r="B56" s="83"/>
      <c r="C56" s="85"/>
      <c r="D56" s="85"/>
      <c r="E56" s="84"/>
      <c r="F56" s="84"/>
      <c r="G56" s="85"/>
      <c r="H56" s="84"/>
      <c r="I56" s="83"/>
      <c r="J56" s="73"/>
      <c r="K56" s="73"/>
      <c r="L56" s="73"/>
      <c r="M56" s="72"/>
      <c r="N56" s="72"/>
      <c r="O56" s="72"/>
      <c r="P56" s="72"/>
      <c r="Q56" s="72"/>
      <c r="R56" s="72"/>
      <c r="S56" s="481"/>
      <c r="T56" s="481"/>
      <c r="U56" s="481"/>
      <c r="V56" s="481"/>
      <c r="W56" s="481"/>
      <c r="X56" s="481"/>
      <c r="Y56" s="481"/>
      <c r="Z56" s="481"/>
      <c r="AA56" s="481"/>
      <c r="AB56" s="481"/>
      <c r="AC56" s="481"/>
      <c r="AD56" s="481"/>
      <c r="AE56" s="481"/>
      <c r="AF56" s="481"/>
      <c r="AG56" s="481"/>
      <c r="AH56" s="481"/>
      <c r="AI56" s="481"/>
      <c r="AJ56" s="481"/>
      <c r="AK56" s="481"/>
      <c r="AL56" s="481"/>
      <c r="AM56" s="481"/>
      <c r="AN56" s="481"/>
      <c r="AO56" s="481"/>
      <c r="AP56" s="481"/>
    </row>
    <row r="57" spans="1:42" s="125" customFormat="1" ht="21" customHeight="1" x14ac:dyDescent="0.25">
      <c r="A57" s="82" t="s">
        <v>198</v>
      </c>
      <c r="B57" s="81"/>
      <c r="C57" s="80"/>
      <c r="D57"/>
      <c r="E57"/>
      <c r="F57"/>
      <c r="G57"/>
      <c r="H57" s="552" t="s">
        <v>199</v>
      </c>
      <c r="I57" s="553"/>
      <c r="J57"/>
      <c r="K57"/>
      <c r="L57" s="72"/>
      <c r="M57" s="72"/>
      <c r="N57" s="72"/>
      <c r="O57" s="72"/>
      <c r="P57" s="72"/>
      <c r="Q57" s="72"/>
      <c r="R57" s="72"/>
      <c r="S57" s="481"/>
      <c r="T57" s="481"/>
      <c r="U57" s="481"/>
      <c r="V57" s="481"/>
      <c r="W57" s="481"/>
      <c r="X57" s="481"/>
      <c r="Y57" s="481"/>
      <c r="Z57" s="481"/>
      <c r="AA57" s="481"/>
      <c r="AB57" s="481"/>
      <c r="AC57" s="481"/>
      <c r="AD57" s="481"/>
      <c r="AE57" s="481"/>
      <c r="AF57" s="481"/>
      <c r="AG57" s="481"/>
      <c r="AH57" s="481"/>
      <c r="AI57" s="481"/>
      <c r="AJ57" s="481"/>
      <c r="AK57" s="481"/>
      <c r="AL57" s="481"/>
      <c r="AM57" s="481"/>
      <c r="AN57" s="481"/>
      <c r="AO57" s="481"/>
      <c r="AP57" s="481"/>
    </row>
    <row r="58" spans="1:42" s="125" customFormat="1" ht="60.75" customHeight="1" x14ac:dyDescent="0.25">
      <c r="A58" s="492">
        <v>1</v>
      </c>
      <c r="B58" s="408" t="s">
        <v>148</v>
      </c>
      <c r="C58" s="468" t="s">
        <v>200</v>
      </c>
      <c r="D58" s="468" t="s">
        <v>201</v>
      </c>
      <c r="E58" s="571" t="s">
        <v>202</v>
      </c>
      <c r="F58" s="571"/>
      <c r="G58" s="469" t="s">
        <v>203</v>
      </c>
      <c r="H58" s="470" t="s">
        <v>204</v>
      </c>
      <c r="I58" s="470" t="s">
        <v>205</v>
      </c>
      <c r="J58" s="493">
        <v>3</v>
      </c>
      <c r="K58" s="494">
        <v>3</v>
      </c>
      <c r="L58" s="72"/>
      <c r="M58" s="72"/>
      <c r="N58" s="72"/>
      <c r="O58" s="72"/>
      <c r="P58" s="72"/>
      <c r="Q58" s="72"/>
      <c r="R58" s="72"/>
      <c r="S58" s="481"/>
      <c r="T58" s="481"/>
      <c r="U58" s="481"/>
      <c r="V58" s="481"/>
      <c r="W58" s="481"/>
      <c r="X58" s="481"/>
      <c r="Y58" s="481"/>
      <c r="Z58" s="481"/>
      <c r="AA58" s="481"/>
      <c r="AB58" s="481"/>
      <c r="AC58" s="481"/>
      <c r="AD58" s="481"/>
      <c r="AE58" s="481"/>
      <c r="AF58" s="481"/>
      <c r="AG58" s="481"/>
      <c r="AH58" s="481"/>
      <c r="AI58" s="481"/>
      <c r="AJ58" s="481"/>
      <c r="AK58" s="481"/>
      <c r="AL58" s="481"/>
      <c r="AM58" s="481"/>
      <c r="AN58" s="481"/>
      <c r="AO58" s="481"/>
    </row>
    <row r="59" spans="1:42" s="125" customFormat="1" ht="24.9" customHeight="1" x14ac:dyDescent="0.25">
      <c r="A59" s="247">
        <v>100000</v>
      </c>
      <c r="B59" s="471" t="s">
        <v>206</v>
      </c>
      <c r="C59" s="472"/>
      <c r="D59" s="473"/>
      <c r="E59" s="474"/>
      <c r="F59" s="475"/>
      <c r="G59" s="474"/>
      <c r="H59" s="474"/>
      <c r="I59" s="233"/>
      <c r="J59" s="241"/>
      <c r="K59" s="242"/>
      <c r="L59" s="72"/>
      <c r="M59" s="72"/>
      <c r="N59" s="72"/>
      <c r="O59" s="72"/>
      <c r="P59" s="72"/>
      <c r="Q59" s="72"/>
      <c r="R59" s="72"/>
      <c r="S59" s="481"/>
      <c r="T59" s="481"/>
      <c r="U59" s="481"/>
      <c r="V59" s="481"/>
      <c r="W59" s="481"/>
      <c r="X59" s="481"/>
      <c r="Y59" s="481"/>
      <c r="Z59" s="481"/>
      <c r="AA59" s="481"/>
      <c r="AB59" s="481"/>
      <c r="AC59" s="481"/>
      <c r="AD59" s="481"/>
      <c r="AE59" s="481"/>
      <c r="AF59" s="481"/>
      <c r="AG59" s="481"/>
      <c r="AH59" s="481"/>
      <c r="AI59" s="481"/>
      <c r="AJ59" s="481"/>
      <c r="AK59" s="481"/>
      <c r="AL59" s="481"/>
      <c r="AM59" s="481"/>
      <c r="AN59" s="481"/>
      <c r="AO59" s="481"/>
    </row>
    <row r="60" spans="1:42" s="125" customFormat="1" ht="45" customHeight="1" x14ac:dyDescent="0.25">
      <c r="A60" s="248">
        <f>E5*5%</f>
        <v>0</v>
      </c>
      <c r="B60" s="312" t="s">
        <v>207</v>
      </c>
      <c r="C60" s="313">
        <v>0.3</v>
      </c>
      <c r="D60" s="314" t="str">
        <f>IF(A$58=3,ROUND((C$60*$E$5),0),"S/O")</f>
        <v>S/O</v>
      </c>
      <c r="E60" s="315" t="str">
        <f>IF(D60="S/O","S/O",IF(G$37&gt;=D60,"Oui",
IF(G$37+MIN(G$22,MAX(D60-G$37,0))&gt;=D60,"Oui",
IF(AND(G$37+MIN(G$22,MAX(D60-G$37,0))&gt;=75%*D60,
G$37+MIN(G$22,MAX(D60-G$37,0))+MIN(H$22,D60-G$37-MIN(G$22,MAX(D60-G$37,0)))&gt;=D60),"Oui","Non"))))</f>
        <v>S/O</v>
      </c>
      <c r="F60" s="316"/>
      <c r="G60" s="317" t="str">
        <f>IF(E60="S/O","S/O",G$37+MIN(H$37,G$22)+MIN(I$37,H$22)-D60)</f>
        <v>S/O</v>
      </c>
      <c r="H60" s="318" t="str">
        <f>IF(E60="S/O","S/O",
IF(AND(G$22&gt;0,G$37&gt;0),MAX(D60-G$37,0),0))</f>
        <v>S/O</v>
      </c>
      <c r="I60" s="318" t="str">
        <f>IF(E60="S/O","S/O",
IF(AND($A$58=3,H$22&gt;0,G$37+H$37&gt;=75%*D60),MAX(ROUND(D60-G$37-H$37,0),0),0))</f>
        <v>S/O</v>
      </c>
      <c r="J60" s="241"/>
      <c r="K60" s="242"/>
      <c r="L60" s="72"/>
      <c r="M60" s="72"/>
      <c r="N60" s="72"/>
      <c r="O60" s="72"/>
      <c r="P60" s="72"/>
      <c r="Q60" s="72"/>
      <c r="R60" s="72"/>
      <c r="S60" s="481"/>
      <c r="T60" s="481"/>
      <c r="U60" s="481"/>
      <c r="V60" s="481"/>
      <c r="W60" s="481"/>
      <c r="X60" s="481"/>
      <c r="Y60" s="481"/>
      <c r="Z60" s="481"/>
      <c r="AA60" s="481"/>
      <c r="AB60" s="481"/>
      <c r="AC60" s="481"/>
      <c r="AD60" s="481"/>
      <c r="AE60" s="481"/>
      <c r="AF60" s="481"/>
      <c r="AG60" s="481"/>
      <c r="AH60" s="481"/>
      <c r="AI60" s="481"/>
      <c r="AJ60" s="481"/>
      <c r="AK60" s="481"/>
      <c r="AL60" s="481"/>
      <c r="AM60" s="481"/>
      <c r="AN60" s="481"/>
      <c r="AO60" s="481"/>
    </row>
    <row r="61" spans="1:42" s="125" customFormat="1" ht="54.9" customHeight="1" x14ac:dyDescent="0.25">
      <c r="A61" s="248"/>
      <c r="B61" s="312" t="s">
        <v>208</v>
      </c>
      <c r="C61" s="319">
        <v>0.125</v>
      </c>
      <c r="D61" s="314" t="str">
        <f>IF(A$58=4,ROUND((C$61*$E$5),0),"S/O")</f>
        <v>S/O</v>
      </c>
      <c r="E61" s="315" t="str">
        <f>IF(D61="S/O","S/O",IF(G$37&gt;=D61,"Oui",
IF(G$37+MIN(G$22,MAX(D61-G$37,0))&gt;=D61,"Oui",
IF(AND(G$37+MIN(G$22,MAX(D61-G$37,0))&gt;=75%*D61,
G$37+MIN(G$22,MAX(D61-G$37,0))+MIN(H$22,D61-G$37-MIN(G$22,MAX(D61-G$37,0)))&gt;=D61),"Oui","Non"))))</f>
        <v>S/O</v>
      </c>
      <c r="F61" s="316"/>
      <c r="G61" s="317" t="str">
        <f>IF(E61="S/O","S/O",G$37+MIN(H$37,G$22)+MIN(I$37,H$22)-D61)</f>
        <v>S/O</v>
      </c>
      <c r="H61" s="318" t="str">
        <f t="shared" ref="H61:H63" si="10">IF(E61="S/O","S/O",
IF(AND(G$22&gt;0,G$37&gt;0),MAX(D61-G$37,0),0))</f>
        <v>S/O</v>
      </c>
      <c r="I61" s="318" t="str">
        <f>IF(E61="S/O","S/O",
IF(AND($A$58=4,H$22&gt;0,G$37+H$37&gt;=75%*D61),MAX(ROUND(D61-G$37-H$37,0),0),0))</f>
        <v>S/O</v>
      </c>
      <c r="J61" s="243"/>
      <c r="K61" s="242"/>
      <c r="L61" s="72"/>
      <c r="M61" s="72"/>
      <c r="N61" s="72"/>
      <c r="O61" s="72"/>
      <c r="P61" s="72"/>
      <c r="Q61" s="72"/>
      <c r="R61" s="72"/>
      <c r="S61" s="481"/>
      <c r="T61" s="481"/>
      <c r="U61" s="481"/>
      <c r="V61" s="481"/>
      <c r="W61" s="481"/>
      <c r="X61" s="481"/>
      <c r="Y61" s="481"/>
      <c r="Z61" s="481"/>
      <c r="AA61" s="481"/>
      <c r="AB61" s="481"/>
      <c r="AC61" s="481"/>
      <c r="AD61" s="481"/>
      <c r="AE61" s="481"/>
      <c r="AF61" s="481"/>
      <c r="AG61" s="481"/>
      <c r="AH61" s="481"/>
      <c r="AI61" s="481"/>
      <c r="AJ61" s="481"/>
      <c r="AK61" s="481"/>
      <c r="AL61" s="481"/>
      <c r="AM61" s="481"/>
      <c r="AN61" s="481"/>
      <c r="AO61" s="481"/>
    </row>
    <row r="62" spans="1:42" s="125" customFormat="1" ht="54.9" customHeight="1" x14ac:dyDescent="0.25">
      <c r="A62" s="248"/>
      <c r="B62" s="320" t="s">
        <v>209</v>
      </c>
      <c r="C62" s="321">
        <v>0.1</v>
      </c>
      <c r="D62" s="314" t="str">
        <f>IF(A$58=5,ROUND((C62*$E$5),0),"S/O")</f>
        <v>S/O</v>
      </c>
      <c r="E62" s="315" t="str">
        <f>IF(D62="S/O","S/O",IF(G$37&gt;=D62,"Oui",
IF(G$37+MIN(G$22,MAX(D62-G$37,0))&gt;=D62,"Oui",
IF(AND(G$37+MIN(G$22,MAX(D62-G$37,0))&gt;=75%*D62,
G$37+MIN(G$22,MAX(D62-G$37,0))+MIN(H$22,D62-G$37-MIN(G$22,MAX(D62-G$37,0)))&gt;=D62),"Oui","Non"))))</f>
        <v>S/O</v>
      </c>
      <c r="F62" s="316"/>
      <c r="G62" s="317" t="str">
        <f>IF(E62="S/O","S/O",G$37+MIN(H$37,G$22)+MIN(I$37,H$22)-D62)</f>
        <v>S/O</v>
      </c>
      <c r="H62" s="318" t="str">
        <f t="shared" si="10"/>
        <v>S/O</v>
      </c>
      <c r="I62" s="318" t="str">
        <f>IF(E62="S/O","S/O",
IF(AND($A$58=5,H$22&gt;0,G$37+H$37&gt;=75%*D62),MAX(ROUND(D62-G$37-H$37,0),0),0))</f>
        <v>S/O</v>
      </c>
      <c r="J62" s="243"/>
      <c r="K62" s="242"/>
      <c r="L62" s="72"/>
      <c r="M62" s="72"/>
      <c r="N62" s="72"/>
      <c r="O62" s="72"/>
      <c r="P62" s="72"/>
      <c r="Q62" s="72"/>
      <c r="R62" s="72"/>
      <c r="S62" s="481"/>
      <c r="T62" s="481"/>
      <c r="U62" s="481"/>
      <c r="V62" s="481"/>
      <c r="W62" s="481"/>
      <c r="X62" s="481"/>
      <c r="Y62" s="481"/>
      <c r="Z62" s="481"/>
      <c r="AA62" s="481"/>
      <c r="AB62" s="481"/>
      <c r="AC62" s="481"/>
      <c r="AD62" s="481"/>
      <c r="AE62" s="481"/>
      <c r="AF62" s="481"/>
      <c r="AG62" s="481"/>
      <c r="AH62" s="481"/>
      <c r="AI62" s="481"/>
      <c r="AJ62" s="481"/>
      <c r="AK62" s="481"/>
      <c r="AL62" s="481"/>
      <c r="AM62" s="481"/>
      <c r="AN62" s="481"/>
      <c r="AO62" s="481"/>
    </row>
    <row r="63" spans="1:42" s="125" customFormat="1" ht="65.099999999999994" customHeight="1" x14ac:dyDescent="0.25">
      <c r="A63" s="247"/>
      <c r="B63" s="312" t="s">
        <v>210</v>
      </c>
      <c r="C63" s="321" t="s">
        <v>211</v>
      </c>
      <c r="D63" s="314" t="str">
        <f>IF(A$58=6,IF($A$60&gt;=120000,120000,ROUND(($E$5*5%),0)),"S/O")</f>
        <v>S/O</v>
      </c>
      <c r="E63" s="315" t="str">
        <f>IF(D63="S/O","S/O",IF(G$37&gt;=D63,"Oui",
IF(G$37+MIN(G$22,MAX(D63-G$37,0))&gt;=D63,"Oui",
IF(AND(G$37+MIN(G$22,MAX(D63-G$37,0))&gt;=75%*D63,
G$37+MIN(G$22,MAX(D63-G$37,0))+MIN(H$22,D63-G$37-MIN(G$22,MAX(D63-G$37,0)))&gt;=D63),"Oui","Non"))))</f>
        <v>S/O</v>
      </c>
      <c r="F63" s="316"/>
      <c r="G63" s="317" t="str">
        <f>IF(E63="S/O","S/O",G$37+MIN(H$37,G$22)+MIN(I$37,H$22)-D63)</f>
        <v>S/O</v>
      </c>
      <c r="H63" s="318" t="str">
        <f t="shared" si="10"/>
        <v>S/O</v>
      </c>
      <c r="I63" s="318" t="str">
        <f>IF(E63="S/O","S/O",
IF(AND($A$58=6,H$22&gt;0,G$37+H$37&gt;=75%*D63),MAX(ROUND(D63-G$37-H$37,0),0),0))</f>
        <v>S/O</v>
      </c>
      <c r="J63" s="243"/>
      <c r="K63" s="242"/>
      <c r="L63" s="72"/>
      <c r="M63" s="72"/>
      <c r="N63" s="72"/>
      <c r="O63" s="72"/>
      <c r="P63" s="72"/>
      <c r="Q63" s="72"/>
      <c r="R63" s="72"/>
      <c r="S63" s="481"/>
      <c r="T63" s="481"/>
      <c r="U63" s="481"/>
      <c r="V63" s="481"/>
      <c r="W63" s="481"/>
      <c r="X63" s="481"/>
      <c r="Y63" s="481"/>
      <c r="Z63" s="481"/>
      <c r="AA63" s="481"/>
      <c r="AB63" s="481"/>
      <c r="AC63" s="481"/>
      <c r="AD63" s="481"/>
      <c r="AE63" s="481"/>
      <c r="AF63" s="481"/>
      <c r="AG63" s="481"/>
      <c r="AH63" s="481"/>
      <c r="AI63" s="481"/>
      <c r="AJ63" s="481"/>
      <c r="AK63" s="481"/>
      <c r="AL63" s="481"/>
      <c r="AM63" s="481"/>
      <c r="AN63" s="481"/>
      <c r="AO63" s="481"/>
    </row>
    <row r="64" spans="1:42" s="125" customFormat="1" ht="24.9" customHeight="1" x14ac:dyDescent="0.25">
      <c r="A64" s="247"/>
      <c r="B64" s="322" t="s">
        <v>212</v>
      </c>
      <c r="C64" s="323"/>
      <c r="D64" s="324"/>
      <c r="E64" s="325"/>
      <c r="F64" s="326"/>
      <c r="G64" s="327"/>
      <c r="H64" s="327"/>
      <c r="I64" s="233"/>
      <c r="J64" s="243"/>
      <c r="K64" s="242"/>
      <c r="L64" s="72"/>
      <c r="M64" s="72"/>
      <c r="N64" s="72"/>
      <c r="O64" s="72"/>
      <c r="P64" s="72"/>
      <c r="Q64" s="72"/>
      <c r="R64" s="72"/>
      <c r="S64" s="481"/>
      <c r="T64" s="481"/>
      <c r="U64" s="481"/>
      <c r="V64" s="481"/>
      <c r="W64" s="481"/>
      <c r="X64" s="481"/>
      <c r="Y64" s="481"/>
      <c r="Z64" s="481"/>
      <c r="AA64" s="481"/>
      <c r="AB64" s="481"/>
      <c r="AC64" s="481"/>
      <c r="AD64" s="481"/>
      <c r="AE64" s="481"/>
      <c r="AF64" s="481"/>
      <c r="AG64" s="481"/>
      <c r="AH64" s="481"/>
      <c r="AI64" s="481"/>
      <c r="AJ64" s="481"/>
      <c r="AK64" s="481"/>
      <c r="AL64" s="481"/>
      <c r="AM64" s="481"/>
      <c r="AN64" s="481"/>
      <c r="AO64" s="481"/>
    </row>
    <row r="65" spans="1:42" s="125" customFormat="1" ht="54.9" customHeight="1" x14ac:dyDescent="0.25">
      <c r="A65" s="247"/>
      <c r="B65" s="312" t="s">
        <v>213</v>
      </c>
      <c r="C65" s="328">
        <v>0.35</v>
      </c>
      <c r="D65" s="329" t="str">
        <f>IF($A$58=8,ROUND((C65*$E$5),0),"S/O")</f>
        <v>S/O</v>
      </c>
      <c r="E65" s="315" t="str">
        <f t="shared" ref="E65:E68" si="11">IF(D65="S/O","S/O",IF(G$37&gt;=D65,"Oui",
IF(G$37+MIN(G$22,MAX(D65-G$37,0))&gt;=D65,"Oui",
IF(AND(G$37+MIN(G$22,MAX(D65-G$37,0))&gt;=75%*D65,
G$37+MIN(G$22,MAX(D65-G$37,0))+MIN(H$22,D65-G$37-MIN(G$22,MAX(D65-G$37,0)))&gt;=D65),"Oui","Non"))))</f>
        <v>S/O</v>
      </c>
      <c r="F65" s="316"/>
      <c r="G65" s="317" t="str">
        <f>IF(E65="S/O","S/O",G$37+MIN(H$37,G$22)+MIN(I$37,H$22)-D65)</f>
        <v>S/O</v>
      </c>
      <c r="H65" s="318" t="str">
        <f t="shared" ref="H65:H77" si="12">IF(E65="S/O","S/O",
IF(AND(G$22&gt;0,G$37&gt;0),MAX(D65-G$37,0),0))</f>
        <v>S/O</v>
      </c>
      <c r="I65" s="235"/>
      <c r="J65" s="244"/>
      <c r="K65" s="242"/>
      <c r="L65" s="72"/>
      <c r="M65" s="72"/>
      <c r="N65" s="72"/>
      <c r="O65" s="72"/>
      <c r="P65" s="72"/>
      <c r="Q65" s="72"/>
      <c r="R65" s="72"/>
      <c r="S65" s="481"/>
      <c r="T65" s="481"/>
      <c r="U65" s="481"/>
      <c r="V65" s="481"/>
      <c r="W65" s="481"/>
      <c r="X65" s="481"/>
      <c r="Y65" s="481"/>
      <c r="Z65" s="481"/>
      <c r="AA65" s="481"/>
      <c r="AB65" s="481"/>
      <c r="AC65" s="481"/>
      <c r="AD65" s="481"/>
      <c r="AE65" s="481"/>
      <c r="AF65" s="481"/>
      <c r="AG65" s="481"/>
      <c r="AH65" s="481"/>
      <c r="AI65" s="481"/>
      <c r="AJ65" s="481"/>
      <c r="AK65" s="481"/>
      <c r="AL65" s="481"/>
      <c r="AM65" s="481"/>
      <c r="AN65" s="481"/>
      <c r="AO65" s="481"/>
    </row>
    <row r="66" spans="1:42" s="125" customFormat="1" ht="54.9" customHeight="1" x14ac:dyDescent="0.25">
      <c r="A66" s="247"/>
      <c r="B66" s="312" t="s">
        <v>214</v>
      </c>
      <c r="C66" s="328">
        <v>0.2</v>
      </c>
      <c r="D66" s="329" t="str">
        <f>IF($A$58=9,ROUND((C66*$E$5),0),"S/O")</f>
        <v>S/O</v>
      </c>
      <c r="E66" s="315" t="str">
        <f t="shared" si="11"/>
        <v>S/O</v>
      </c>
      <c r="F66" s="316"/>
      <c r="G66" s="317" t="str">
        <f>IF(E66="S/O","S/O",G$37+MIN(H$37,G$22)+MIN(I$37,H$22)-D66)</f>
        <v>S/O</v>
      </c>
      <c r="H66" s="318" t="str">
        <f t="shared" si="12"/>
        <v>S/O</v>
      </c>
      <c r="I66" s="236"/>
      <c r="J66" s="244"/>
      <c r="K66" s="242"/>
      <c r="L66" s="72"/>
      <c r="M66" s="72"/>
      <c r="N66" s="72"/>
      <c r="O66" s="72"/>
      <c r="P66" s="72"/>
      <c r="Q66" s="72"/>
      <c r="R66" s="72"/>
      <c r="S66" s="481"/>
      <c r="T66" s="481"/>
      <c r="U66" s="481"/>
      <c r="V66" s="481"/>
      <c r="W66" s="481"/>
      <c r="X66" s="481"/>
      <c r="Y66" s="481"/>
      <c r="Z66" s="481"/>
      <c r="AA66" s="481"/>
      <c r="AB66" s="481"/>
      <c r="AC66" s="481"/>
      <c r="AD66" s="481"/>
      <c r="AE66" s="481"/>
      <c r="AF66" s="481"/>
      <c r="AG66" s="481"/>
      <c r="AH66" s="481"/>
      <c r="AI66" s="481"/>
      <c r="AJ66" s="481"/>
      <c r="AK66" s="481"/>
      <c r="AL66" s="481"/>
      <c r="AM66" s="481"/>
      <c r="AN66" s="481"/>
      <c r="AO66" s="481"/>
    </row>
    <row r="67" spans="1:42" s="125" customFormat="1" ht="65.099999999999994" customHeight="1" x14ac:dyDescent="0.25">
      <c r="A67" s="247"/>
      <c r="B67" s="312" t="s">
        <v>215</v>
      </c>
      <c r="C67" s="328" t="s">
        <v>216</v>
      </c>
      <c r="D67" s="330" t="str">
        <f>IF(A$58=10,IF(60000*$K$5&lt;=$E$5*15%,ROUND((60000*$K$5),0),ROUND(($E$5*15%),0)),"S/O")</f>
        <v>S/O</v>
      </c>
      <c r="E67" s="315" t="str">
        <f t="shared" si="11"/>
        <v>S/O</v>
      </c>
      <c r="F67" s="316"/>
      <c r="G67" s="317" t="str">
        <f>IF(E67="S/O","S/O",G$37+MIN(H$37,G$22)+MIN(I$37,H$22)-D67)</f>
        <v>S/O</v>
      </c>
      <c r="H67" s="318" t="str">
        <f t="shared" si="12"/>
        <v>S/O</v>
      </c>
      <c r="I67" s="237"/>
      <c r="J67" s="244"/>
      <c r="K67" s="242"/>
      <c r="L67" s="72"/>
      <c r="M67" s="72"/>
      <c r="N67" s="72"/>
      <c r="O67" s="72"/>
      <c r="P67" s="72"/>
      <c r="Q67" s="72"/>
      <c r="R67" s="72"/>
      <c r="S67" s="481"/>
      <c r="T67" s="481"/>
      <c r="U67" s="481"/>
      <c r="V67" s="481"/>
      <c r="W67" s="481"/>
      <c r="X67" s="481"/>
      <c r="Y67" s="481"/>
      <c r="Z67" s="481"/>
      <c r="AA67" s="481"/>
      <c r="AB67" s="481"/>
      <c r="AC67" s="481"/>
      <c r="AD67" s="481"/>
      <c r="AE67" s="481"/>
      <c r="AF67" s="481"/>
      <c r="AG67" s="481"/>
      <c r="AH67" s="481"/>
      <c r="AI67" s="481"/>
      <c r="AJ67" s="481"/>
      <c r="AK67" s="481"/>
      <c r="AL67" s="481"/>
      <c r="AM67" s="481"/>
      <c r="AN67" s="481"/>
      <c r="AO67" s="481"/>
    </row>
    <row r="68" spans="1:42" s="125" customFormat="1" ht="65.099999999999994" customHeight="1" x14ac:dyDescent="0.25">
      <c r="A68" s="247"/>
      <c r="B68" s="312" t="s">
        <v>217</v>
      </c>
      <c r="C68" s="331" t="s">
        <v>218</v>
      </c>
      <c r="D68" s="329" t="str">
        <f>IF(A$58=11,IF(60000&lt;=$E$5*10%,ROUND((60000),0),ROUND(($E$5*10%),0)),"S/O")</f>
        <v>S/O</v>
      </c>
      <c r="E68" s="315" t="str">
        <f t="shared" si="11"/>
        <v>S/O</v>
      </c>
      <c r="F68" s="316"/>
      <c r="G68" s="317" t="str">
        <f>IF(E68="S/O","S/O",G$37+MIN(H$37,G$22)+MIN(I$37,H$22)-D68)</f>
        <v>S/O</v>
      </c>
      <c r="H68" s="318" t="str">
        <f t="shared" si="12"/>
        <v>S/O</v>
      </c>
      <c r="I68" s="237"/>
      <c r="J68" s="244"/>
      <c r="K68" s="242"/>
      <c r="L68" s="72"/>
      <c r="M68" s="72"/>
      <c r="N68" s="72"/>
      <c r="O68" s="72"/>
      <c r="P68" s="72"/>
      <c r="Q68" s="72"/>
      <c r="R68" s="72"/>
      <c r="S68" s="481"/>
      <c r="T68" s="481"/>
      <c r="U68" s="481"/>
      <c r="V68" s="481"/>
      <c r="W68" s="481"/>
      <c r="X68" s="481"/>
      <c r="Y68" s="481"/>
      <c r="Z68" s="481"/>
      <c r="AA68" s="481"/>
      <c r="AB68" s="481"/>
      <c r="AC68" s="481"/>
      <c r="AD68" s="481"/>
      <c r="AE68" s="481"/>
      <c r="AF68" s="481"/>
      <c r="AG68" s="481"/>
      <c r="AH68" s="481"/>
      <c r="AI68" s="481"/>
      <c r="AJ68" s="481"/>
      <c r="AK68" s="481"/>
      <c r="AL68" s="481"/>
      <c r="AM68" s="481"/>
      <c r="AN68" s="481"/>
      <c r="AO68" s="481"/>
    </row>
    <row r="69" spans="1:42" s="125" customFormat="1" ht="24.9" customHeight="1" x14ac:dyDescent="0.25">
      <c r="A69" s="247"/>
      <c r="B69" s="332" t="s">
        <v>219</v>
      </c>
      <c r="C69" s="322"/>
      <c r="D69" s="333"/>
      <c r="E69" s="334"/>
      <c r="F69" s="327"/>
      <c r="G69" s="326"/>
      <c r="H69" s="326"/>
      <c r="I69" s="238"/>
      <c r="J69" s="245"/>
      <c r="K69" s="242"/>
      <c r="L69" s="72"/>
      <c r="M69" s="72"/>
      <c r="N69" s="72"/>
      <c r="O69" s="72"/>
      <c r="P69" s="72"/>
      <c r="Q69" s="72"/>
      <c r="R69" s="72"/>
      <c r="S69" s="481"/>
      <c r="T69" s="481"/>
      <c r="U69" s="481"/>
      <c r="V69" s="481"/>
      <c r="W69" s="481"/>
      <c r="X69" s="481"/>
      <c r="Y69" s="481"/>
      <c r="Z69" s="481"/>
      <c r="AA69" s="481"/>
      <c r="AB69" s="481"/>
      <c r="AC69" s="481"/>
      <c r="AD69" s="481"/>
      <c r="AE69" s="481"/>
      <c r="AF69" s="481"/>
      <c r="AG69" s="481"/>
      <c r="AH69" s="481"/>
      <c r="AI69" s="481"/>
      <c r="AJ69" s="481"/>
      <c r="AK69" s="481"/>
      <c r="AL69" s="481"/>
      <c r="AM69" s="481"/>
      <c r="AN69" s="481"/>
      <c r="AO69" s="481"/>
    </row>
    <row r="70" spans="1:42" s="125" customFormat="1" ht="45" customHeight="1" x14ac:dyDescent="0.25">
      <c r="A70" s="247"/>
      <c r="B70" s="312" t="s">
        <v>220</v>
      </c>
      <c r="C70" s="335">
        <v>0.5</v>
      </c>
      <c r="D70" s="336" t="str">
        <f>IF(A$58=13,ROUND((C70*$E$5),0),"S/O")</f>
        <v>S/O</v>
      </c>
      <c r="E70" s="315" t="str">
        <f>IF(D70="S/O","S/O",IF(G$37&gt;=D70,"Oui",
IF(G$37+MIN(G$22,MAX(D70-G$37,0))&gt;=D70,"Oui",
IF(AND(G$37+MIN(G$22,MAX(D70-G$37,0))&gt;=75%*D70,
G$37+MIN(G$22,MAX(D70-G$37,0))+MIN(H$22,D70-G$37-MIN(G$22,MAX(D70-G$37,0)))&gt;=D70),"Oui","Non"))))</f>
        <v>S/O</v>
      </c>
      <c r="F70" s="316"/>
      <c r="G70" s="317" t="str">
        <f>IF(E70="S/O","S/O",G$37+MIN(H$37,G$22)+MIN(I$37,H$22)-D70)</f>
        <v>S/O</v>
      </c>
      <c r="H70" s="318" t="str">
        <f t="shared" si="12"/>
        <v>S/O</v>
      </c>
      <c r="I70" s="239"/>
      <c r="J70" s="337"/>
      <c r="K70" s="245" t="s">
        <v>221</v>
      </c>
      <c r="L70" s="72"/>
      <c r="M70" s="72"/>
      <c r="N70" s="72"/>
      <c r="O70" s="72"/>
      <c r="P70" s="72"/>
      <c r="Q70" s="72"/>
      <c r="R70" s="72"/>
      <c r="S70" s="481"/>
      <c r="T70" s="481"/>
      <c r="U70" s="481"/>
      <c r="V70" s="481"/>
      <c r="W70" s="481"/>
      <c r="X70" s="481"/>
      <c r="Y70" s="481"/>
      <c r="Z70" s="481"/>
      <c r="AA70" s="481"/>
      <c r="AB70" s="481"/>
      <c r="AC70" s="481"/>
      <c r="AD70" s="481"/>
      <c r="AE70" s="481"/>
      <c r="AF70" s="481"/>
      <c r="AG70" s="481"/>
      <c r="AH70" s="481"/>
      <c r="AI70" s="481"/>
      <c r="AJ70" s="481"/>
      <c r="AK70" s="481"/>
      <c r="AL70" s="481"/>
      <c r="AM70" s="481"/>
      <c r="AN70" s="481"/>
      <c r="AO70" s="481"/>
    </row>
    <row r="71" spans="1:42" s="125" customFormat="1" ht="45" customHeight="1" x14ac:dyDescent="0.25">
      <c r="A71" s="242"/>
      <c r="B71" s="312" t="s">
        <v>222</v>
      </c>
      <c r="C71" s="328">
        <v>0.25</v>
      </c>
      <c r="D71" s="330" t="str">
        <f>IF(A$58=14,ROUND((C71*$E$5),0),"S/O")</f>
        <v>S/O</v>
      </c>
      <c r="E71" s="315" t="str">
        <f>IF(D71="S/O","S/O",IF(G$37&gt;=D71,"Oui",
IF(G$37+MIN(G$22,MAX(D71-G$37,0))&gt;=D71,"Oui",
IF(AND(G$37+MIN(G$22,MAX(D71-G$37,0))&gt;=75%*D71,
G$37+MIN(G$22,MAX(D71-G$37,0))+MIN(H$22,D71-G$37-MIN(G$22,MAX(D71-G$37,0)))&gt;=D71),"Oui","Non"))))</f>
        <v>S/O</v>
      </c>
      <c r="F71" s="316"/>
      <c r="G71" s="317" t="str">
        <f>IF(E71="S/O","S/O",G$37+MIN(H$37,G$22)+MIN(I$37,H$22)-D71)</f>
        <v>S/O</v>
      </c>
      <c r="H71" s="318" t="str">
        <f t="shared" si="12"/>
        <v>S/O</v>
      </c>
      <c r="I71" s="240"/>
      <c r="J71" s="337"/>
      <c r="K71" s="245" t="s">
        <v>223</v>
      </c>
      <c r="L71" s="72"/>
      <c r="M71" s="72"/>
      <c r="N71" s="72"/>
      <c r="O71" s="72"/>
      <c r="P71" s="72"/>
      <c r="Q71" s="72"/>
      <c r="R71" s="72"/>
      <c r="S71" s="481"/>
      <c r="T71" s="481"/>
      <c r="U71" s="481"/>
      <c r="V71" s="481"/>
      <c r="W71" s="481"/>
      <c r="X71" s="481"/>
      <c r="Y71" s="481"/>
      <c r="Z71" s="481"/>
      <c r="AA71" s="481"/>
      <c r="AB71" s="481"/>
      <c r="AC71" s="481"/>
      <c r="AD71" s="481"/>
      <c r="AE71" s="481"/>
      <c r="AF71" s="481"/>
      <c r="AG71" s="481"/>
      <c r="AH71" s="481"/>
      <c r="AI71" s="481"/>
      <c r="AJ71" s="481"/>
      <c r="AK71" s="481"/>
      <c r="AL71" s="481"/>
      <c r="AM71" s="481"/>
      <c r="AN71" s="481"/>
      <c r="AO71" s="481"/>
    </row>
    <row r="72" spans="1:42" s="125" customFormat="1" ht="45" customHeight="1" x14ac:dyDescent="0.25">
      <c r="A72" s="242"/>
      <c r="B72" s="312" t="s">
        <v>224</v>
      </c>
      <c r="C72" s="328">
        <v>0.2</v>
      </c>
      <c r="D72" s="330" t="str">
        <f>IF(A$58=15,ROUND((C72*$E$5),0),"S/O")</f>
        <v>S/O</v>
      </c>
      <c r="E72" s="315" t="str">
        <f>IF(D72="S/O","S/O",IF(G$37&gt;=D72,"Oui",
IF(G$37+MIN(G$22,MAX(D72-G$37,0))&gt;=D72,"Oui",
IF(AND(G$37+MIN(G$22,MAX(D72-G$37,0))&gt;=75%*D72,
G$37+MIN(G$22,MAX(D72-G$37,0))+MIN(H$22,D72-G$37-MIN(G$22,MAX(D72-G$37,0)))&gt;=D72),"Oui","Non"))))</f>
        <v>S/O</v>
      </c>
      <c r="F72" s="316"/>
      <c r="G72" s="317" t="str">
        <f>IF(E72="S/O","S/O",G$37+MIN(H$37,G$22)+MIN(I$37,H$22)-D72)</f>
        <v>S/O</v>
      </c>
      <c r="H72" s="318" t="str">
        <f t="shared" si="12"/>
        <v>S/O</v>
      </c>
      <c r="I72" s="240"/>
      <c r="J72" s="245"/>
      <c r="K72" s="242"/>
      <c r="L72" s="72"/>
      <c r="M72" s="72"/>
      <c r="N72" s="72"/>
      <c r="O72" s="72"/>
      <c r="P72" s="72"/>
      <c r="Q72" s="72"/>
      <c r="R72" s="72"/>
      <c r="S72" s="481"/>
      <c r="T72" s="481"/>
      <c r="U72" s="481"/>
      <c r="V72" s="481"/>
      <c r="W72" s="481"/>
      <c r="X72" s="481"/>
      <c r="Y72" s="481"/>
      <c r="Z72" s="481"/>
      <c r="AA72" s="481"/>
      <c r="AB72" s="481"/>
      <c r="AC72" s="481"/>
      <c r="AD72" s="481"/>
      <c r="AE72" s="481"/>
      <c r="AF72" s="481"/>
      <c r="AG72" s="481"/>
      <c r="AH72" s="481"/>
      <c r="AI72" s="481"/>
      <c r="AJ72" s="481"/>
      <c r="AK72" s="481"/>
      <c r="AL72" s="481"/>
      <c r="AM72" s="481"/>
      <c r="AN72" s="481"/>
      <c r="AO72" s="481"/>
    </row>
    <row r="73" spans="1:42" s="125" customFormat="1" ht="24.9" customHeight="1" x14ac:dyDescent="0.25">
      <c r="A73" s="247"/>
      <c r="B73" s="338" t="s">
        <v>225</v>
      </c>
      <c r="C73" s="339"/>
      <c r="D73" s="340"/>
      <c r="E73" s="341"/>
      <c r="F73" s="342"/>
      <c r="G73" s="326"/>
      <c r="H73" s="326"/>
      <c r="I73" s="237"/>
      <c r="J73" s="244"/>
      <c r="K73" s="242"/>
      <c r="L73" s="76"/>
      <c r="M73" s="72"/>
      <c r="N73" s="72"/>
      <c r="O73" s="72"/>
      <c r="P73" s="72"/>
      <c r="Q73" s="72"/>
      <c r="R73" s="72"/>
      <c r="S73" s="481"/>
      <c r="T73" s="481"/>
      <c r="U73" s="481"/>
      <c r="V73" s="481"/>
      <c r="W73" s="481"/>
      <c r="X73" s="481"/>
      <c r="Y73" s="481"/>
      <c r="Z73" s="481"/>
      <c r="AA73" s="481"/>
      <c r="AB73" s="481"/>
      <c r="AC73" s="481"/>
      <c r="AD73" s="481"/>
      <c r="AE73" s="481"/>
      <c r="AF73" s="481"/>
      <c r="AG73" s="481"/>
      <c r="AH73" s="481"/>
      <c r="AI73" s="481"/>
      <c r="AJ73" s="481"/>
      <c r="AK73" s="481"/>
      <c r="AL73" s="481"/>
      <c r="AM73" s="481"/>
      <c r="AN73" s="481"/>
      <c r="AO73" s="481"/>
    </row>
    <row r="74" spans="1:42" s="125" customFormat="1" ht="45" customHeight="1" x14ac:dyDescent="0.25">
      <c r="A74" s="247"/>
      <c r="B74" s="312" t="s">
        <v>226</v>
      </c>
      <c r="C74" s="328">
        <v>0.5</v>
      </c>
      <c r="D74" s="329" t="str">
        <f>IF($A$58=17,ROUND((C74*$E$5),0),"S/O")</f>
        <v>S/O</v>
      </c>
      <c r="E74" s="315" t="str">
        <f>IF(D74="S/O","S/O",IF(G$37&gt;=D74,"Oui",
IF(G$37+MIN(G$22,MAX(D74-G$37,0))&gt;=D74,"Oui",
IF(AND(G$37+MIN(G$22,MAX(D74-G$37,0))&gt;=75%*D74,
G$37+MIN(G$22,MAX(D74-G$37,0))+MIN(H$22,D74-G$37-MIN(G$22,MAX(D74-G$37,0)))&gt;=D74),"Oui","Non"))))</f>
        <v>S/O</v>
      </c>
      <c r="F74" s="316"/>
      <c r="G74" s="317" t="str">
        <f>IF(E74="S/O","S/O",G$37+MIN(H$37,G$22)+MIN(I$37,H$22)-D74)</f>
        <v>S/O</v>
      </c>
      <c r="H74" s="318" t="str">
        <f t="shared" si="12"/>
        <v>S/O</v>
      </c>
      <c r="I74" s="343"/>
      <c r="J74" s="245"/>
      <c r="K74" s="246" t="s">
        <v>227</v>
      </c>
      <c r="L74" s="72"/>
      <c r="M74" s="72"/>
      <c r="N74" s="72"/>
      <c r="O74" s="72"/>
      <c r="P74" s="72"/>
      <c r="Q74" s="72"/>
      <c r="R74" s="72"/>
      <c r="S74" s="481"/>
      <c r="T74" s="481"/>
      <c r="U74" s="481"/>
      <c r="V74" s="481"/>
      <c r="W74" s="481"/>
      <c r="X74" s="481"/>
      <c r="Y74" s="481"/>
      <c r="Z74" s="481"/>
      <c r="AA74" s="481"/>
      <c r="AB74" s="481"/>
      <c r="AC74" s="481"/>
      <c r="AD74" s="481"/>
      <c r="AE74" s="481"/>
      <c r="AF74" s="481"/>
      <c r="AG74" s="481"/>
      <c r="AH74" s="481"/>
      <c r="AI74" s="481"/>
      <c r="AJ74" s="481"/>
      <c r="AK74" s="481"/>
      <c r="AL74" s="481"/>
      <c r="AM74" s="481"/>
      <c r="AN74" s="481"/>
      <c r="AO74" s="481"/>
    </row>
    <row r="75" spans="1:42" s="125" customFormat="1" ht="54.9" customHeight="1" x14ac:dyDescent="0.25">
      <c r="A75" s="247"/>
      <c r="B75" s="312" t="s">
        <v>228</v>
      </c>
      <c r="C75" s="328">
        <v>0.23</v>
      </c>
      <c r="D75" s="329" t="str">
        <f>IF($A$58=18,ROUND((C75*$E$5),0),"S/O")</f>
        <v>S/O</v>
      </c>
      <c r="E75" s="315" t="str">
        <f>IF(D75="S/O","S/O",IF(G$37&gt;=D75,"Oui",
IF(G$37+MIN(G$22,MAX(D75-G$37,0))&gt;=D75,"Oui",
IF(AND(G$37+MIN(G$22,MAX(D75-G$37,0))&gt;=75%*D75,
G$37+MIN(G$22,MAX(D75-G$37,0))+MIN(H$22,D75-G$37-MIN(G$22,MAX(D75-G$37,0)))&gt;=D75),"Oui","Non"))))</f>
        <v>S/O</v>
      </c>
      <c r="F75" s="316"/>
      <c r="G75" s="317" t="str">
        <f>IF(E75="S/O","S/O",G$37+MIN(H$37,G$22)+MIN(I$37,H$22)-D75)</f>
        <v>S/O</v>
      </c>
      <c r="H75" s="318" t="str">
        <f t="shared" si="12"/>
        <v>S/O</v>
      </c>
      <c r="I75" s="343"/>
      <c r="J75" s="245"/>
      <c r="K75" s="246" t="s">
        <v>229</v>
      </c>
      <c r="L75" s="72"/>
      <c r="M75" s="72"/>
      <c r="N75" s="72"/>
      <c r="O75" s="72"/>
      <c r="P75" s="72"/>
      <c r="Q75" s="72"/>
      <c r="R75" s="72"/>
      <c r="S75" s="481"/>
      <c r="T75" s="481"/>
      <c r="U75" s="481"/>
      <c r="V75" s="481"/>
      <c r="W75" s="481"/>
      <c r="X75" s="481"/>
      <c r="Y75" s="481"/>
      <c r="Z75" s="481"/>
      <c r="AA75" s="481"/>
      <c r="AB75" s="481"/>
      <c r="AC75" s="481"/>
      <c r="AD75" s="481"/>
      <c r="AE75" s="481"/>
      <c r="AF75" s="481"/>
      <c r="AG75" s="481"/>
      <c r="AH75" s="481"/>
      <c r="AI75" s="481"/>
      <c r="AJ75" s="481"/>
      <c r="AK75" s="481"/>
      <c r="AL75" s="481"/>
      <c r="AM75" s="481"/>
      <c r="AN75" s="481"/>
      <c r="AO75" s="481"/>
    </row>
    <row r="76" spans="1:42" s="125" customFormat="1" ht="65.099999999999994" customHeight="1" x14ac:dyDescent="0.25">
      <c r="A76" s="247"/>
      <c r="B76" s="312" t="s">
        <v>230</v>
      </c>
      <c r="C76" s="328" t="s">
        <v>231</v>
      </c>
      <c r="D76" s="330" t="str">
        <f>IF(A$58=19,IF(195000*$K$5&lt;=$E$5*20%,ROUND((195000*$K$5),0),ROUND(($E$5*20%),0)),"S/O")</f>
        <v>S/O</v>
      </c>
      <c r="E76" s="315" t="str">
        <f>IF(D76="S/O","S/O",IF(G$37&gt;=D76,"Oui",
IF(G$37+MIN(G$22,MAX(D76-G$37,0))&gt;=D76,"Oui",
IF(AND(G$37+MIN(G$22,MAX(D76-G$37,0))&gt;=75%*D76,
G$37+MIN(G$22,MAX(D76-G$37,0))+MIN(H$22,D76-G$37-MIN(G$22,MAX(D76-G$37,0)))&gt;=D76),"Oui","Non"))))</f>
        <v>S/O</v>
      </c>
      <c r="F76" s="316"/>
      <c r="G76" s="317" t="str">
        <f>IF(E76="S/O","S/O",G$37+MIN(H$37,G$22)+MIN(I$37,H$22)-D76)</f>
        <v>S/O</v>
      </c>
      <c r="H76" s="318" t="str">
        <f t="shared" si="12"/>
        <v>S/O</v>
      </c>
      <c r="I76" s="238"/>
      <c r="J76" s="245"/>
      <c r="K76" s="242"/>
      <c r="L76" s="72"/>
      <c r="M76" s="72"/>
      <c r="N76" s="72"/>
      <c r="O76" s="72"/>
      <c r="P76" s="72"/>
      <c r="Q76" s="72"/>
      <c r="R76" s="72"/>
      <c r="S76" s="481"/>
      <c r="T76" s="481"/>
      <c r="U76" s="481"/>
      <c r="V76" s="481"/>
      <c r="W76" s="481"/>
      <c r="X76" s="481"/>
      <c r="Y76" s="481"/>
      <c r="Z76" s="481"/>
      <c r="AA76" s="481"/>
      <c r="AB76" s="481"/>
      <c r="AC76" s="481"/>
      <c r="AD76" s="481"/>
      <c r="AE76" s="481"/>
      <c r="AF76" s="481"/>
      <c r="AG76" s="481"/>
      <c r="AH76" s="481"/>
      <c r="AI76" s="481"/>
      <c r="AJ76" s="481"/>
      <c r="AK76" s="481"/>
      <c r="AL76" s="481"/>
      <c r="AM76" s="481"/>
      <c r="AN76" s="481"/>
      <c r="AO76" s="481"/>
    </row>
    <row r="77" spans="1:42" s="125" customFormat="1" ht="24.9" customHeight="1" x14ac:dyDescent="0.25">
      <c r="A77" s="247"/>
      <c r="B77" s="312" t="s">
        <v>232</v>
      </c>
      <c r="C77" s="331">
        <v>150000</v>
      </c>
      <c r="D77" s="330" t="str">
        <f>IF(A$58=20,ROUND((C77),0),"S/O")</f>
        <v>S/O</v>
      </c>
      <c r="E77" s="315" t="str">
        <f>IF(D77="S/O","S/O",IF(G$37&gt;=D77,"Oui",
IF(G$37+MIN(G$22,MAX(D77-G$37,0))&gt;=D77,"Oui",
IF(AND(G$37+MIN(G$22,MAX(D77-G$37,0))&gt;=75%*D77,
G$37+MIN(G$22,MAX(D77-G$37,0))+MIN(H$22,D77-G$37-MIN(G$22,MAX(D77-G$37,0)))&gt;=D77),"Oui","Non"))))</f>
        <v>S/O</v>
      </c>
      <c r="F77" s="316"/>
      <c r="G77" s="317" t="str">
        <f>IF(E77="S/O","S/O",G$37+MIN(H$37,G$22)+MIN(I$37,H$22)-D77)</f>
        <v>S/O</v>
      </c>
      <c r="H77" s="318" t="str">
        <f t="shared" si="12"/>
        <v>S/O</v>
      </c>
      <c r="I77" s="234"/>
      <c r="J77" s="245"/>
      <c r="K77" s="242"/>
      <c r="L77" s="72"/>
      <c r="M77" s="72"/>
      <c r="N77" s="72"/>
      <c r="O77" s="72"/>
      <c r="P77" s="72"/>
      <c r="Q77" s="72"/>
      <c r="R77" s="72"/>
      <c r="S77" s="481"/>
      <c r="T77" s="481"/>
      <c r="U77" s="481"/>
      <c r="V77" s="481"/>
      <c r="W77" s="481"/>
      <c r="X77" s="481"/>
      <c r="Y77" s="481"/>
      <c r="Z77" s="481"/>
      <c r="AA77" s="481"/>
      <c r="AB77" s="481"/>
      <c r="AC77" s="481"/>
      <c r="AD77" s="481"/>
      <c r="AE77" s="481"/>
      <c r="AF77" s="481"/>
      <c r="AG77" s="481"/>
      <c r="AH77" s="481"/>
      <c r="AI77" s="481"/>
      <c r="AJ77" s="481"/>
      <c r="AK77" s="481"/>
      <c r="AL77" s="481"/>
      <c r="AM77" s="481"/>
      <c r="AN77" s="481"/>
      <c r="AO77" s="481"/>
    </row>
    <row r="78" spans="1:42" s="125" customFormat="1" ht="18" customHeight="1" x14ac:dyDescent="0.25">
      <c r="A78" s="476"/>
      <c r="B78" s="477"/>
      <c r="C78" s="478"/>
      <c r="D78" s="479"/>
      <c r="E78" s="479"/>
      <c r="F78" s="479"/>
      <c r="G78" s="479"/>
      <c r="H78" s="476"/>
      <c r="I78" s="476"/>
      <c r="J78" s="476"/>
      <c r="K78" s="476"/>
      <c r="L78" s="72"/>
      <c r="M78" s="72"/>
      <c r="N78" s="72"/>
      <c r="O78" s="72"/>
      <c r="P78" s="72"/>
      <c r="Q78" s="72"/>
      <c r="R78" s="72"/>
      <c r="S78" s="481"/>
      <c r="T78" s="481"/>
      <c r="U78" s="481"/>
      <c r="V78" s="481"/>
      <c r="W78" s="481"/>
      <c r="X78" s="481"/>
      <c r="Y78" s="481"/>
      <c r="Z78" s="481"/>
      <c r="AA78" s="481"/>
      <c r="AB78" s="481"/>
      <c r="AC78" s="481"/>
      <c r="AD78" s="481"/>
      <c r="AE78" s="481"/>
      <c r="AF78" s="481"/>
      <c r="AG78" s="481"/>
      <c r="AH78" s="481"/>
      <c r="AI78" s="481"/>
      <c r="AJ78" s="481"/>
      <c r="AK78" s="481"/>
      <c r="AL78" s="481"/>
      <c r="AM78" s="481"/>
      <c r="AN78" s="481"/>
      <c r="AO78" s="481"/>
      <c r="AP78" s="481"/>
    </row>
    <row r="79" spans="1:42" s="125" customFormat="1" ht="23.25" customHeight="1" x14ac:dyDescent="0.25">
      <c r="A79" s="570" t="s">
        <v>233</v>
      </c>
      <c r="B79" s="570"/>
      <c r="C79" s="570"/>
      <c r="D79" s="74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481"/>
      <c r="T79" s="481"/>
      <c r="U79" s="481"/>
      <c r="V79" s="481"/>
      <c r="W79" s="481"/>
      <c r="X79" s="481"/>
      <c r="Y79" s="481"/>
      <c r="Z79" s="481"/>
      <c r="AA79" s="481"/>
      <c r="AB79" s="481"/>
      <c r="AC79" s="481"/>
      <c r="AD79" s="481"/>
      <c r="AE79" s="481"/>
      <c r="AF79" s="481"/>
      <c r="AG79" s="481"/>
      <c r="AH79" s="481"/>
      <c r="AI79" s="481"/>
      <c r="AJ79" s="481"/>
    </row>
    <row r="80" spans="1:42" s="125" customFormat="1" ht="23.25" customHeight="1" x14ac:dyDescent="0.25">
      <c r="A80" s="344"/>
      <c r="B80" s="344"/>
      <c r="C80" s="566" t="s">
        <v>234</v>
      </c>
      <c r="D80" s="567"/>
      <c r="E80" s="567"/>
      <c r="F80" s="568" t="s">
        <v>235</v>
      </c>
      <c r="G80" s="567"/>
      <c r="H80" s="567"/>
      <c r="I80" s="569" t="s">
        <v>236</v>
      </c>
      <c r="J80" s="567"/>
      <c r="K80" s="567"/>
      <c r="L80" s="72"/>
      <c r="M80" s="72"/>
      <c r="N80" s="72"/>
      <c r="O80" s="72"/>
      <c r="P80" s="72"/>
      <c r="Q80" s="72"/>
      <c r="R80" s="72"/>
      <c r="S80" s="481"/>
      <c r="T80" s="481"/>
      <c r="U80" s="481"/>
      <c r="V80" s="481"/>
      <c r="W80" s="481"/>
      <c r="X80" s="481"/>
      <c r="Y80" s="481"/>
      <c r="Z80" s="481"/>
      <c r="AA80" s="481"/>
      <c r="AB80" s="481"/>
      <c r="AC80" s="481"/>
      <c r="AD80" s="481"/>
      <c r="AE80" s="481"/>
      <c r="AF80" s="481"/>
      <c r="AG80" s="481"/>
      <c r="AH80" s="481"/>
      <c r="AI80" s="481"/>
      <c r="AJ80" s="481"/>
    </row>
    <row r="81" spans="1:44" s="125" customFormat="1" ht="45" customHeight="1" x14ac:dyDescent="0.25">
      <c r="A81" s="344"/>
      <c r="B81" s="344"/>
      <c r="C81" s="348" t="s">
        <v>237</v>
      </c>
      <c r="D81" s="345" t="s">
        <v>238</v>
      </c>
      <c r="E81" s="348" t="s">
        <v>239</v>
      </c>
      <c r="F81" s="346" t="s">
        <v>240</v>
      </c>
      <c r="G81" s="349" t="s">
        <v>238</v>
      </c>
      <c r="H81" s="346" t="s">
        <v>239</v>
      </c>
      <c r="I81" s="347" t="s">
        <v>241</v>
      </c>
      <c r="J81" s="350" t="s">
        <v>238</v>
      </c>
      <c r="K81" s="350" t="s">
        <v>239</v>
      </c>
      <c r="L81" s="72"/>
      <c r="M81" s="72"/>
      <c r="N81" s="72"/>
      <c r="O81" s="72"/>
      <c r="P81" s="72"/>
      <c r="Q81" s="72"/>
      <c r="R81" s="72"/>
      <c r="S81" s="481"/>
      <c r="T81" s="481"/>
      <c r="U81" s="481"/>
      <c r="V81" s="481"/>
      <c r="W81" s="481"/>
      <c r="X81" s="481"/>
      <c r="Y81" s="481"/>
      <c r="Z81" s="481"/>
      <c r="AA81" s="481"/>
      <c r="AB81" s="481"/>
      <c r="AC81" s="481"/>
      <c r="AD81" s="481"/>
      <c r="AE81" s="481"/>
      <c r="AF81" s="481"/>
      <c r="AG81" s="481"/>
      <c r="AH81" s="481"/>
      <c r="AI81" s="481"/>
      <c r="AJ81" s="481"/>
      <c r="AK81" s="481"/>
    </row>
    <row r="82" spans="1:44" s="125" customFormat="1" ht="39.9" customHeight="1" x14ac:dyDescent="0.25">
      <c r="A82" s="351" t="s">
        <v>242</v>
      </c>
      <c r="B82" s="321" t="s">
        <v>243</v>
      </c>
      <c r="C82" s="352" t="str">
        <f>IF(AND(E8&lt;&gt;"Oui",$E$22&gt;0),ROUND($F$7*$E$5,0),"S/O")</f>
        <v>S/O</v>
      </c>
      <c r="D82" s="353" t="str">
        <f>IF(C82="S/O","S/O",IF($E$22&gt;C82,"Non","Oui"))</f>
        <v>S/O</v>
      </c>
      <c r="E82" s="353" t="str">
        <f>IF(D82="Non",$E$22-C82,"S/O")</f>
        <v>S/O</v>
      </c>
      <c r="F82" s="352" t="str">
        <f>IF(AND(E8&lt;&gt;"Oui",$E$22&gt;0),ROUND(F7*$E$5,0),"S/O")</f>
        <v>S/O</v>
      </c>
      <c r="G82" s="353" t="str">
        <f>IF(F82="S/O","S/O",IF($E$22&gt;F82,"Non","Oui"))</f>
        <v>S/O</v>
      </c>
      <c r="H82" s="353" t="str">
        <f>IF(G82="Non",$E$22-F82,"S/O")</f>
        <v>S/O</v>
      </c>
      <c r="I82" s="354"/>
      <c r="J82" s="355"/>
      <c r="K82" s="356"/>
      <c r="L82" s="72"/>
      <c r="M82" s="72"/>
      <c r="N82" s="72"/>
      <c r="O82" s="72"/>
      <c r="P82" s="72"/>
      <c r="Q82" s="72"/>
      <c r="R82" s="72"/>
      <c r="S82" s="481"/>
      <c r="T82" s="481"/>
      <c r="U82" s="481"/>
      <c r="V82" s="481"/>
      <c r="W82" s="481"/>
      <c r="X82" s="481"/>
      <c r="Y82" s="481"/>
      <c r="Z82" s="481"/>
      <c r="AA82" s="481"/>
      <c r="AB82" s="481"/>
      <c r="AC82" s="481"/>
      <c r="AD82" s="481"/>
      <c r="AE82" s="481"/>
      <c r="AF82" s="481"/>
      <c r="AG82" s="481"/>
      <c r="AH82" s="481"/>
    </row>
    <row r="83" spans="1:44" s="449" customFormat="1" ht="69.900000000000006" customHeight="1" x14ac:dyDescent="0.25">
      <c r="A83" s="357" t="str">
        <f>K74</f>
        <v>Mesure incitative pour les projets nordiques</v>
      </c>
      <c r="B83" s="358" t="s">
        <v>244</v>
      </c>
      <c r="C83" s="359" t="str">
        <f>IF(AND($K$58=1,$E$8="Oui"),MIN(N(F83)+N(I83),ROUND(0.84*$E$5,0)),"S/O")</f>
        <v>S/O</v>
      </c>
      <c r="D83" s="360" t="str">
        <f>IF(AND($K$58=1,$E$8="Oui"),
IF(OR($E$9+$E$22&gt;C83,G83="Non",J83="Non"),"Non","Oui"),"S/O")</f>
        <v>S/O</v>
      </c>
      <c r="E83" s="359" t="str">
        <f>IF(D83="Non",MAX($E$9+$E$22-N(C83),N(H83)+N(K83)),"S/O")</f>
        <v>S/O</v>
      </c>
      <c r="F83" s="359" t="str">
        <f>IF(AND($K$58=1,$E$8="Oui"),IF($E$22&gt;0,ROUND($F$7*$E$5,0),"S/O"),"S/O")</f>
        <v>S/O</v>
      </c>
      <c r="G83" s="360" t="str">
        <f>IF(F83="S/O","S/O",IF($E$22&gt;F83,"Non","Oui"))</f>
        <v>S/O</v>
      </c>
      <c r="H83" s="359" t="str">
        <f>IF(G83="Non",$E$22-F83,"S/O")</f>
        <v>S/O</v>
      </c>
      <c r="I83" s="359" t="str">
        <f>IF(AND($K$58=1,$E$8="Oui"),MIN(ROUND(0.3*$E$5,0),200000),"S/O")</f>
        <v>S/O</v>
      </c>
      <c r="J83" s="360" t="str">
        <f>IF(I83="S/O","S/O",IF($E$9&gt;I83,"Non","Oui"))</f>
        <v>S/O</v>
      </c>
      <c r="K83" s="359" t="str">
        <f>IF(J83="Non",$E$9-I83,"S/O")</f>
        <v>S/O</v>
      </c>
      <c r="L83" s="1"/>
      <c r="M83" s="3"/>
      <c r="N83" s="1"/>
      <c r="O83" s="1"/>
      <c r="P83" s="1"/>
      <c r="Q83" s="1"/>
      <c r="R83" s="1"/>
      <c r="S83" s="446"/>
      <c r="T83" s="446"/>
      <c r="U83" s="446"/>
      <c r="V83" s="446"/>
      <c r="W83" s="446"/>
      <c r="X83" s="446"/>
      <c r="Y83" s="446"/>
      <c r="Z83" s="446"/>
      <c r="AA83" s="446"/>
      <c r="AB83" s="446"/>
      <c r="AC83" s="446"/>
      <c r="AD83" s="446"/>
      <c r="AE83" s="446"/>
      <c r="AF83" s="446"/>
      <c r="AG83" s="446"/>
      <c r="AH83" s="446"/>
      <c r="AI83" s="446"/>
      <c r="AJ83" s="446"/>
      <c r="AK83" s="446"/>
      <c r="AL83" s="446"/>
      <c r="AM83" s="446"/>
      <c r="AN83" s="450"/>
      <c r="AO83" s="450"/>
      <c r="AP83" s="450"/>
      <c r="AQ83" s="450"/>
      <c r="AR83" s="450"/>
    </row>
    <row r="84" spans="1:44" s="449" customFormat="1" ht="80.099999999999994" customHeight="1" x14ac:dyDescent="0.25">
      <c r="A84" s="357" t="s">
        <v>245</v>
      </c>
      <c r="B84" s="358" t="s">
        <v>246</v>
      </c>
      <c r="C84" s="359" t="str">
        <f>IF(AND($K$58=2,$E$8="Oui"),MIN(N(F84)+N(I84),ROUND(0.84*$E$5,0)),"S/O")</f>
        <v>S/O</v>
      </c>
      <c r="D84" s="360" t="str">
        <f>IF(OR(F$84="S/O",I$84="S/O"),"S/O",IF(AND($K$58=2,$E$8="Oui"),
IF(OR($E$9+$E$22&gt;C84,G84="Non",J84="Non"),"Non","Oui"),"S/O"))</f>
        <v>S/O</v>
      </c>
      <c r="E84" s="359" t="str">
        <f>IF(D84="Non",MAX($E$9+$E$22-N(C84),N(H84)+N(K84)),"S/O")</f>
        <v>S/O</v>
      </c>
      <c r="F84" s="359" t="str">
        <f>IF(AND($K$58=2,$E$8="Oui"),IF($E$22&gt;0,ROUND($F$7*$E$5,0),"S/O"),"S/O")</f>
        <v>S/O</v>
      </c>
      <c r="G84" s="360" t="str">
        <f>IF(F84="S/O","S/O",IF(OR($E$22&gt;F84,F84=0),"Non","Oui"))</f>
        <v>S/O</v>
      </c>
      <c r="H84" s="359" t="str">
        <f>IF(G84="Non",$E$22-F84,"S/O")</f>
        <v>S/O</v>
      </c>
      <c r="I84" s="359" t="str">
        <f>IF(AND($K$58=2,$E$8="Oui",E22&gt;0),MIN(ROUND(0.15*$E$5,0),225000),"S/O")</f>
        <v>S/O</v>
      </c>
      <c r="J84" s="360" t="str">
        <f>IF(I84="S/O","S/O",IF($E$9&gt;I84,"Non","Oui"))</f>
        <v>S/O</v>
      </c>
      <c r="K84" s="359" t="str">
        <f>IF(J84="Non",$E$9-I84,"S/O")</f>
        <v>S/O</v>
      </c>
      <c r="L84" s="1"/>
      <c r="M84" s="1"/>
      <c r="N84" s="1"/>
      <c r="O84" s="1"/>
      <c r="P84" s="1"/>
      <c r="Q84" s="1"/>
      <c r="R84" s="1"/>
      <c r="S84" s="446"/>
      <c r="T84" s="446"/>
      <c r="U84" s="446"/>
      <c r="V84" s="446"/>
      <c r="W84" s="446"/>
      <c r="X84" s="446"/>
      <c r="Y84" s="446"/>
      <c r="Z84" s="446"/>
      <c r="AA84" s="446"/>
      <c r="AB84" s="446"/>
      <c r="AC84" s="446"/>
      <c r="AD84" s="446"/>
      <c r="AE84" s="446"/>
      <c r="AF84" s="446"/>
      <c r="AG84" s="446"/>
      <c r="AH84" s="446"/>
      <c r="AI84" s="446"/>
      <c r="AJ84" s="446"/>
      <c r="AK84" s="446"/>
      <c r="AL84" s="446"/>
      <c r="AM84" s="446"/>
      <c r="AN84" s="446"/>
      <c r="AO84" s="446"/>
      <c r="AP84" s="446"/>
      <c r="AQ84" s="450"/>
      <c r="AR84" s="450"/>
    </row>
    <row r="85" spans="1:44" s="125" customFormat="1" x14ac:dyDescent="0.25">
      <c r="A85" s="72"/>
      <c r="B85" s="73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481"/>
      <c r="T85" s="481"/>
      <c r="U85" s="481"/>
      <c r="V85" s="481"/>
      <c r="W85" s="481"/>
      <c r="X85" s="481"/>
      <c r="Y85" s="481"/>
      <c r="Z85" s="481"/>
      <c r="AA85" s="481"/>
      <c r="AB85" s="481"/>
      <c r="AC85" s="481"/>
      <c r="AD85" s="481"/>
      <c r="AE85" s="481"/>
      <c r="AF85" s="481"/>
      <c r="AG85" s="481"/>
      <c r="AH85" s="481"/>
      <c r="AI85" s="481"/>
      <c r="AJ85" s="481"/>
      <c r="AK85" s="481"/>
      <c r="AL85" s="481"/>
      <c r="AM85" s="481"/>
      <c r="AN85" s="481"/>
      <c r="AO85" s="481"/>
      <c r="AP85" s="481"/>
    </row>
    <row r="86" spans="1:44" s="125" customFormat="1" ht="18" customHeight="1" x14ac:dyDescent="0.25">
      <c r="A86" s="186" t="s">
        <v>247</v>
      </c>
      <c r="B86" s="186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481"/>
      <c r="T86" s="481"/>
      <c r="U86" s="481"/>
      <c r="V86" s="481"/>
      <c r="W86" s="481"/>
      <c r="X86" s="481"/>
      <c r="Y86" s="481"/>
      <c r="Z86" s="481"/>
      <c r="AA86" s="481"/>
      <c r="AB86" s="481"/>
      <c r="AC86" s="481"/>
      <c r="AD86" s="481"/>
      <c r="AE86" s="481"/>
      <c r="AF86" s="481"/>
      <c r="AG86" s="481"/>
      <c r="AH86" s="481"/>
      <c r="AI86" s="481"/>
      <c r="AJ86" s="481"/>
      <c r="AK86" s="481"/>
      <c r="AL86" s="481"/>
      <c r="AM86" s="481"/>
      <c r="AN86" s="481"/>
      <c r="AO86" s="481"/>
      <c r="AP86" s="481"/>
    </row>
    <row r="87" spans="1:44" s="125" customFormat="1" ht="30" customHeight="1" x14ac:dyDescent="0.25">
      <c r="A87" s="216"/>
      <c r="B87"/>
      <c r="C87"/>
      <c r="D87"/>
      <c r="E87"/>
      <c r="F87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481"/>
      <c r="T87" s="481"/>
      <c r="U87" s="481"/>
      <c r="V87" s="481"/>
      <c r="W87" s="481"/>
      <c r="X87" s="481"/>
      <c r="Y87" s="481"/>
      <c r="Z87" s="481"/>
      <c r="AA87" s="481"/>
      <c r="AB87" s="481"/>
      <c r="AC87" s="481"/>
      <c r="AD87" s="481"/>
      <c r="AE87" s="481"/>
      <c r="AF87" s="481"/>
      <c r="AG87" s="481"/>
      <c r="AH87" s="481"/>
      <c r="AI87" s="481"/>
      <c r="AJ87" s="481"/>
      <c r="AK87" s="481"/>
      <c r="AL87" s="481"/>
      <c r="AM87" s="481"/>
      <c r="AN87" s="481"/>
      <c r="AO87" s="481"/>
      <c r="AP87" s="481"/>
    </row>
    <row r="88" spans="1:44" s="125" customFormat="1" ht="30" customHeight="1" x14ac:dyDescent="0.25">
      <c r="A88" s="74"/>
      <c r="B88" s="74"/>
      <c r="C88"/>
      <c r="D88"/>
      <c r="E88"/>
      <c r="F88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481"/>
      <c r="T88" s="481"/>
      <c r="U88" s="481"/>
      <c r="V88" s="481"/>
      <c r="W88" s="481"/>
      <c r="X88" s="481"/>
      <c r="Y88" s="481"/>
      <c r="Z88" s="481"/>
      <c r="AA88" s="481"/>
      <c r="AB88" s="481"/>
      <c r="AC88" s="481"/>
      <c r="AD88" s="481"/>
      <c r="AE88" s="481"/>
      <c r="AF88" s="481"/>
      <c r="AG88" s="481"/>
      <c r="AH88" s="481"/>
      <c r="AI88" s="481"/>
      <c r="AJ88" s="481"/>
      <c r="AK88" s="481"/>
      <c r="AL88" s="481"/>
      <c r="AM88" s="481"/>
      <c r="AN88" s="481"/>
      <c r="AO88" s="481"/>
      <c r="AP88" s="481"/>
    </row>
    <row r="89" spans="1:44" s="125" customFormat="1" x14ac:dyDescent="0.25">
      <c r="A89" s="72"/>
      <c r="B89" s="73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481"/>
      <c r="T89" s="481"/>
      <c r="U89" s="481"/>
      <c r="V89" s="481"/>
      <c r="W89" s="481"/>
      <c r="X89" s="481"/>
      <c r="Y89" s="481"/>
      <c r="Z89" s="481"/>
      <c r="AA89" s="481"/>
      <c r="AB89" s="481"/>
      <c r="AC89" s="481"/>
      <c r="AD89" s="481"/>
      <c r="AE89" s="481"/>
      <c r="AF89" s="481"/>
      <c r="AG89" s="481"/>
      <c r="AH89" s="481"/>
      <c r="AI89" s="481"/>
      <c r="AJ89" s="481"/>
      <c r="AK89" s="481"/>
      <c r="AL89" s="481"/>
      <c r="AM89" s="481"/>
      <c r="AN89" s="481"/>
      <c r="AO89" s="481"/>
      <c r="AP89" s="481"/>
    </row>
    <row r="90" spans="1:44" s="125" customFormat="1" x14ac:dyDescent="0.25">
      <c r="A90" s="72"/>
      <c r="B90" s="73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481"/>
      <c r="T90" s="481"/>
      <c r="U90" s="481"/>
      <c r="V90" s="481"/>
      <c r="W90" s="481"/>
      <c r="X90" s="481"/>
      <c r="Y90" s="481"/>
      <c r="Z90" s="481"/>
      <c r="AA90" s="481"/>
      <c r="AB90" s="481"/>
      <c r="AC90" s="481"/>
      <c r="AD90" s="481"/>
      <c r="AE90" s="481"/>
      <c r="AF90" s="481"/>
      <c r="AG90" s="481"/>
      <c r="AH90" s="481"/>
      <c r="AI90" s="481"/>
      <c r="AJ90" s="481"/>
      <c r="AK90" s="481"/>
      <c r="AL90" s="481"/>
      <c r="AM90" s="481"/>
      <c r="AN90" s="481"/>
      <c r="AO90" s="481"/>
      <c r="AP90" s="481"/>
    </row>
    <row r="91" spans="1:44" s="125" customFormat="1" x14ac:dyDescent="0.25">
      <c r="A91" s="72"/>
      <c r="B91" s="73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481"/>
      <c r="T91" s="481"/>
      <c r="U91" s="481"/>
      <c r="V91" s="481"/>
      <c r="W91" s="481"/>
      <c r="X91" s="481"/>
      <c r="Y91" s="481"/>
      <c r="Z91" s="481"/>
      <c r="AA91" s="481"/>
      <c r="AB91" s="481"/>
      <c r="AC91" s="481"/>
      <c r="AD91" s="481"/>
      <c r="AE91" s="481"/>
      <c r="AF91" s="481"/>
      <c r="AG91" s="481"/>
      <c r="AH91" s="481"/>
      <c r="AI91" s="481"/>
      <c r="AJ91" s="481"/>
      <c r="AK91" s="481"/>
      <c r="AL91" s="481"/>
      <c r="AM91" s="481"/>
      <c r="AN91" s="481"/>
      <c r="AO91" s="481"/>
      <c r="AP91" s="481"/>
    </row>
    <row r="92" spans="1:44" s="125" customFormat="1" x14ac:dyDescent="0.25">
      <c r="A92" s="72"/>
      <c r="B92" s="73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481"/>
      <c r="T92" s="481"/>
      <c r="U92" s="481"/>
      <c r="V92" s="481"/>
      <c r="W92" s="481"/>
      <c r="X92" s="481"/>
      <c r="Y92" s="481"/>
      <c r="Z92" s="481"/>
      <c r="AA92" s="481"/>
      <c r="AB92" s="481"/>
      <c r="AC92" s="481"/>
      <c r="AD92" s="481"/>
      <c r="AE92" s="481"/>
      <c r="AF92" s="481"/>
      <c r="AG92" s="481"/>
      <c r="AH92" s="481"/>
      <c r="AI92" s="481"/>
      <c r="AJ92" s="481"/>
      <c r="AK92" s="481"/>
      <c r="AL92" s="481"/>
      <c r="AM92" s="481"/>
      <c r="AN92" s="481"/>
      <c r="AO92" s="481"/>
      <c r="AP92" s="481"/>
    </row>
    <row r="93" spans="1:44" s="125" customFormat="1" x14ac:dyDescent="0.25">
      <c r="A93" s="72"/>
      <c r="B93" s="73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481"/>
      <c r="T93" s="481"/>
      <c r="U93" s="481"/>
      <c r="V93" s="481"/>
      <c r="W93" s="481"/>
      <c r="X93" s="481"/>
      <c r="Y93" s="481"/>
      <c r="Z93" s="481"/>
      <c r="AA93" s="481"/>
      <c r="AB93" s="481"/>
      <c r="AC93" s="481"/>
      <c r="AD93" s="481"/>
      <c r="AE93" s="481"/>
      <c r="AF93" s="481"/>
      <c r="AG93" s="481"/>
      <c r="AH93" s="481"/>
      <c r="AI93" s="481"/>
      <c r="AJ93" s="481"/>
      <c r="AK93" s="481"/>
      <c r="AL93" s="481"/>
      <c r="AM93" s="481"/>
      <c r="AN93" s="481"/>
      <c r="AO93" s="481"/>
      <c r="AP93" s="481"/>
    </row>
    <row r="94" spans="1:44" s="125" customFormat="1" x14ac:dyDescent="0.25">
      <c r="A94" s="72"/>
      <c r="B94" s="73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481"/>
      <c r="T94" s="481"/>
      <c r="U94" s="481"/>
      <c r="V94" s="481"/>
      <c r="W94" s="481"/>
      <c r="X94" s="481"/>
      <c r="Y94" s="481"/>
      <c r="Z94" s="481"/>
      <c r="AA94" s="481"/>
      <c r="AB94" s="481"/>
      <c r="AC94" s="481"/>
      <c r="AD94" s="481"/>
      <c r="AE94" s="481"/>
      <c r="AF94" s="481"/>
      <c r="AG94" s="481"/>
      <c r="AH94" s="481"/>
      <c r="AI94" s="481"/>
      <c r="AJ94" s="481"/>
      <c r="AK94" s="481"/>
      <c r="AL94" s="481"/>
      <c r="AM94" s="481"/>
      <c r="AN94" s="481"/>
      <c r="AO94" s="481"/>
      <c r="AP94" s="481"/>
    </row>
    <row r="95" spans="1:44" s="125" customFormat="1" x14ac:dyDescent="0.25">
      <c r="A95" s="72"/>
      <c r="B95" s="73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481"/>
      <c r="T95" s="481"/>
      <c r="U95" s="481"/>
      <c r="V95" s="481"/>
      <c r="W95" s="481"/>
      <c r="X95" s="481"/>
      <c r="Y95" s="481"/>
      <c r="Z95" s="481"/>
      <c r="AA95" s="481"/>
      <c r="AB95" s="481"/>
      <c r="AC95" s="481"/>
      <c r="AD95" s="481"/>
      <c r="AE95" s="481"/>
      <c r="AF95" s="481"/>
      <c r="AG95" s="481"/>
      <c r="AH95" s="481"/>
      <c r="AI95" s="481"/>
      <c r="AJ95" s="481"/>
      <c r="AK95" s="481"/>
      <c r="AL95" s="481"/>
      <c r="AM95" s="481"/>
      <c r="AN95" s="481"/>
      <c r="AO95" s="481"/>
      <c r="AP95" s="481"/>
    </row>
    <row r="96" spans="1:44" s="125" customFormat="1" x14ac:dyDescent="0.25">
      <c r="A96" s="72"/>
      <c r="B96" s="73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481"/>
      <c r="T96" s="481"/>
      <c r="U96" s="481"/>
      <c r="V96" s="481"/>
      <c r="W96" s="481"/>
      <c r="X96" s="481"/>
      <c r="Y96" s="481"/>
      <c r="Z96" s="481"/>
      <c r="AA96" s="481"/>
      <c r="AB96" s="481"/>
      <c r="AC96" s="481"/>
      <c r="AD96" s="481"/>
      <c r="AE96" s="481"/>
      <c r="AF96" s="481"/>
      <c r="AG96" s="481"/>
      <c r="AH96" s="481"/>
      <c r="AI96" s="481"/>
      <c r="AJ96" s="481"/>
      <c r="AK96" s="481"/>
      <c r="AL96" s="481"/>
      <c r="AM96" s="481"/>
      <c r="AN96" s="481"/>
      <c r="AO96" s="481"/>
      <c r="AP96" s="481"/>
    </row>
    <row r="97" spans="1:42" s="125" customFormat="1" x14ac:dyDescent="0.25">
      <c r="A97" s="72"/>
      <c r="B97" s="73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481"/>
      <c r="T97" s="481"/>
      <c r="U97" s="481"/>
      <c r="V97" s="481"/>
      <c r="W97" s="481"/>
      <c r="X97" s="481"/>
      <c r="Y97" s="481"/>
      <c r="Z97" s="481"/>
      <c r="AA97" s="481"/>
      <c r="AB97" s="481"/>
      <c r="AC97" s="481"/>
      <c r="AD97" s="481"/>
      <c r="AE97" s="481"/>
      <c r="AF97" s="481"/>
      <c r="AG97" s="481"/>
      <c r="AH97" s="481"/>
      <c r="AI97" s="481"/>
      <c r="AJ97" s="481"/>
      <c r="AK97" s="481"/>
      <c r="AL97" s="481"/>
      <c r="AM97" s="481"/>
      <c r="AN97" s="481"/>
      <c r="AO97" s="481"/>
      <c r="AP97" s="481"/>
    </row>
    <row r="98" spans="1:42" s="125" customFormat="1" x14ac:dyDescent="0.25">
      <c r="A98" s="72"/>
      <c r="B98" s="73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481"/>
      <c r="T98" s="481"/>
      <c r="U98" s="481"/>
      <c r="V98" s="481"/>
      <c r="W98" s="481"/>
      <c r="X98" s="481"/>
      <c r="Y98" s="481"/>
      <c r="Z98" s="481"/>
      <c r="AA98" s="481"/>
      <c r="AB98" s="481"/>
      <c r="AC98" s="481"/>
      <c r="AD98" s="481"/>
      <c r="AE98" s="481"/>
      <c r="AF98" s="481"/>
      <c r="AG98" s="481"/>
      <c r="AH98" s="481"/>
      <c r="AI98" s="481"/>
      <c r="AJ98" s="481"/>
      <c r="AK98" s="481"/>
      <c r="AL98" s="481"/>
      <c r="AM98" s="481"/>
      <c r="AN98" s="481"/>
      <c r="AO98" s="481"/>
      <c r="AP98" s="481"/>
    </row>
    <row r="99" spans="1:42" s="125" customFormat="1" x14ac:dyDescent="0.25">
      <c r="A99" s="72"/>
      <c r="B99" s="73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481"/>
      <c r="T99" s="481"/>
      <c r="U99" s="481"/>
      <c r="V99" s="481"/>
      <c r="W99" s="481"/>
      <c r="X99" s="481"/>
      <c r="Y99" s="481"/>
      <c r="Z99" s="481"/>
      <c r="AA99" s="481"/>
      <c r="AB99" s="481"/>
      <c r="AC99" s="481"/>
      <c r="AD99" s="481"/>
      <c r="AE99" s="481"/>
      <c r="AF99" s="481"/>
      <c r="AG99" s="481"/>
      <c r="AH99" s="481"/>
      <c r="AI99" s="481"/>
      <c r="AJ99" s="481"/>
      <c r="AK99" s="481"/>
      <c r="AL99" s="481"/>
      <c r="AM99" s="481"/>
      <c r="AN99" s="481"/>
      <c r="AO99" s="481"/>
      <c r="AP99" s="481"/>
    </row>
    <row r="100" spans="1:42" s="125" customFormat="1" x14ac:dyDescent="0.25">
      <c r="A100" s="72"/>
      <c r="B100" s="73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481"/>
      <c r="T100" s="481"/>
      <c r="U100" s="481"/>
      <c r="V100" s="481"/>
      <c r="W100" s="481"/>
      <c r="X100" s="481"/>
      <c r="Y100" s="481"/>
      <c r="Z100" s="481"/>
      <c r="AA100" s="481"/>
      <c r="AB100" s="481"/>
      <c r="AC100" s="481"/>
      <c r="AD100" s="481"/>
      <c r="AE100" s="481"/>
      <c r="AF100" s="481"/>
      <c r="AG100" s="481"/>
      <c r="AH100" s="481"/>
      <c r="AI100" s="481"/>
      <c r="AJ100" s="481"/>
      <c r="AK100" s="481"/>
      <c r="AL100" s="481"/>
      <c r="AM100" s="481"/>
      <c r="AN100" s="481"/>
      <c r="AO100" s="481"/>
      <c r="AP100" s="481"/>
    </row>
    <row r="101" spans="1:42" s="125" customFormat="1" x14ac:dyDescent="0.25">
      <c r="A101" s="481"/>
      <c r="B101" s="484"/>
      <c r="C101" s="481"/>
      <c r="D101" s="481"/>
      <c r="E101" s="481"/>
      <c r="F101" s="481"/>
      <c r="G101" s="481"/>
      <c r="H101" s="481"/>
      <c r="I101" s="481"/>
      <c r="J101" s="481"/>
      <c r="K101" s="481"/>
      <c r="L101" s="481"/>
      <c r="M101" s="481"/>
      <c r="N101" s="481"/>
      <c r="O101" s="481"/>
      <c r="P101" s="481"/>
      <c r="Q101" s="481"/>
      <c r="R101" s="481"/>
      <c r="S101" s="481"/>
      <c r="T101" s="481"/>
      <c r="U101" s="481"/>
      <c r="V101" s="481"/>
      <c r="W101" s="481"/>
      <c r="X101" s="481"/>
      <c r="Y101" s="481"/>
      <c r="Z101" s="481"/>
      <c r="AA101" s="481"/>
      <c r="AB101" s="481"/>
      <c r="AC101" s="481"/>
      <c r="AD101" s="481"/>
      <c r="AE101" s="481"/>
      <c r="AF101" s="481"/>
      <c r="AG101" s="481"/>
      <c r="AH101" s="481"/>
      <c r="AI101" s="481"/>
      <c r="AJ101" s="481"/>
      <c r="AK101" s="481"/>
      <c r="AL101" s="481"/>
      <c r="AM101" s="481"/>
      <c r="AN101" s="481"/>
      <c r="AO101" s="481"/>
      <c r="AP101" s="481"/>
    </row>
    <row r="102" spans="1:42" s="125" customFormat="1" x14ac:dyDescent="0.25">
      <c r="A102" s="481"/>
      <c r="B102" s="484"/>
      <c r="C102" s="481"/>
      <c r="D102" s="481"/>
      <c r="E102" s="481"/>
      <c r="F102" s="481"/>
      <c r="G102" s="481"/>
      <c r="H102" s="481"/>
      <c r="I102" s="481"/>
      <c r="J102" s="481"/>
      <c r="K102" s="481"/>
      <c r="L102" s="481"/>
      <c r="M102" s="481"/>
      <c r="N102" s="481"/>
      <c r="O102" s="481"/>
      <c r="P102" s="481"/>
      <c r="Q102" s="481"/>
      <c r="R102" s="481"/>
      <c r="S102" s="481"/>
      <c r="T102" s="481"/>
      <c r="U102" s="481"/>
      <c r="V102" s="481"/>
      <c r="W102" s="481"/>
      <c r="X102" s="481"/>
      <c r="Y102" s="481"/>
      <c r="Z102" s="481"/>
      <c r="AA102" s="481"/>
      <c r="AB102" s="481"/>
      <c r="AC102" s="481"/>
      <c r="AD102" s="481"/>
      <c r="AE102" s="481"/>
      <c r="AF102" s="481"/>
      <c r="AG102" s="481"/>
      <c r="AH102" s="481"/>
      <c r="AI102" s="481"/>
      <c r="AJ102" s="481"/>
      <c r="AK102" s="481"/>
      <c r="AL102" s="481"/>
      <c r="AM102" s="481"/>
      <c r="AN102" s="481"/>
      <c r="AO102" s="481"/>
      <c r="AP102" s="481"/>
    </row>
    <row r="103" spans="1:42" s="125" customFormat="1" x14ac:dyDescent="0.25">
      <c r="A103" s="481"/>
      <c r="B103" s="484"/>
      <c r="C103" s="481"/>
      <c r="D103" s="481"/>
      <c r="E103" s="481"/>
      <c r="F103" s="481"/>
      <c r="G103" s="481"/>
      <c r="H103" s="481"/>
      <c r="I103" s="481"/>
      <c r="J103" s="481"/>
      <c r="K103" s="481"/>
      <c r="L103" s="481"/>
      <c r="M103" s="481"/>
      <c r="N103" s="481"/>
      <c r="O103" s="481"/>
      <c r="P103" s="481"/>
      <c r="Q103" s="481"/>
      <c r="R103" s="481"/>
      <c r="S103" s="481"/>
      <c r="T103" s="481"/>
      <c r="U103" s="481"/>
      <c r="V103" s="481"/>
      <c r="W103" s="481"/>
      <c r="X103" s="481"/>
      <c r="Y103" s="481"/>
      <c r="Z103" s="481"/>
      <c r="AA103" s="481"/>
      <c r="AB103" s="481"/>
      <c r="AC103" s="481"/>
      <c r="AD103" s="481"/>
      <c r="AE103" s="481"/>
      <c r="AF103" s="481"/>
      <c r="AG103" s="481"/>
      <c r="AH103" s="481"/>
      <c r="AI103" s="481"/>
      <c r="AJ103" s="481"/>
      <c r="AK103" s="481"/>
      <c r="AL103" s="481"/>
      <c r="AM103" s="481"/>
      <c r="AN103" s="481"/>
      <c r="AO103" s="481"/>
      <c r="AP103" s="481"/>
    </row>
    <row r="104" spans="1:42" s="125" customFormat="1" x14ac:dyDescent="0.25">
      <c r="A104" s="481"/>
      <c r="B104" s="484"/>
      <c r="C104" s="481"/>
      <c r="D104" s="481"/>
      <c r="E104" s="481"/>
      <c r="F104" s="481"/>
      <c r="G104" s="481"/>
      <c r="H104" s="481"/>
      <c r="I104" s="481"/>
      <c r="J104" s="481"/>
      <c r="K104" s="481"/>
      <c r="L104" s="481"/>
      <c r="M104" s="481"/>
      <c r="N104" s="481"/>
      <c r="O104" s="481"/>
      <c r="P104" s="481"/>
      <c r="Q104" s="481"/>
      <c r="R104" s="481"/>
      <c r="S104" s="481"/>
      <c r="T104" s="481"/>
      <c r="U104" s="481"/>
      <c r="V104" s="481"/>
      <c r="W104" s="481"/>
      <c r="X104" s="481"/>
      <c r="Y104" s="481"/>
      <c r="Z104" s="481"/>
      <c r="AA104" s="481"/>
      <c r="AB104" s="481"/>
      <c r="AC104" s="481"/>
      <c r="AD104" s="481"/>
      <c r="AE104" s="481"/>
      <c r="AF104" s="481"/>
      <c r="AG104" s="481"/>
      <c r="AH104" s="481"/>
      <c r="AI104" s="481"/>
      <c r="AJ104" s="481"/>
      <c r="AK104" s="481"/>
      <c r="AL104" s="481"/>
      <c r="AM104" s="481"/>
      <c r="AN104" s="481"/>
      <c r="AO104" s="481"/>
      <c r="AP104" s="481"/>
    </row>
    <row r="105" spans="1:42" s="125" customFormat="1" x14ac:dyDescent="0.25">
      <c r="A105" s="481"/>
      <c r="B105" s="484"/>
      <c r="C105" s="481"/>
      <c r="D105" s="481"/>
      <c r="E105" s="481"/>
      <c r="F105" s="481"/>
      <c r="G105" s="481"/>
      <c r="H105" s="481"/>
      <c r="I105" s="481"/>
      <c r="J105" s="481"/>
      <c r="K105" s="481"/>
      <c r="L105" s="481"/>
      <c r="M105" s="481"/>
      <c r="N105" s="481"/>
      <c r="O105" s="481"/>
      <c r="P105" s="481"/>
      <c r="Q105" s="481"/>
      <c r="R105" s="481"/>
      <c r="S105" s="481"/>
      <c r="T105" s="481"/>
      <c r="U105" s="481"/>
      <c r="V105" s="481"/>
      <c r="W105" s="481"/>
      <c r="X105" s="481"/>
      <c r="Y105" s="481"/>
      <c r="Z105" s="481"/>
      <c r="AA105" s="481"/>
      <c r="AB105" s="481"/>
      <c r="AC105" s="481"/>
      <c r="AD105" s="481"/>
      <c r="AE105" s="481"/>
      <c r="AF105" s="481"/>
      <c r="AG105" s="481"/>
      <c r="AH105" s="481"/>
      <c r="AI105" s="481"/>
      <c r="AJ105" s="481"/>
      <c r="AK105" s="481"/>
      <c r="AL105" s="481"/>
      <c r="AM105" s="481"/>
      <c r="AN105" s="481"/>
      <c r="AO105" s="481"/>
      <c r="AP105" s="481"/>
    </row>
    <row r="106" spans="1:42" s="125" customFormat="1" x14ac:dyDescent="0.25">
      <c r="A106" s="481"/>
      <c r="B106" s="484"/>
      <c r="C106" s="481"/>
      <c r="D106" s="481"/>
      <c r="E106" s="481"/>
      <c r="F106" s="481"/>
      <c r="G106" s="481"/>
      <c r="H106" s="481"/>
      <c r="I106" s="481"/>
      <c r="J106" s="481"/>
      <c r="K106" s="481"/>
      <c r="L106" s="481"/>
      <c r="M106" s="481"/>
      <c r="N106" s="481"/>
      <c r="O106" s="481"/>
      <c r="P106" s="481"/>
      <c r="Q106" s="481"/>
      <c r="R106" s="481"/>
      <c r="S106" s="481"/>
      <c r="T106" s="481"/>
      <c r="U106" s="481"/>
      <c r="V106" s="481"/>
      <c r="W106" s="481"/>
      <c r="X106" s="481"/>
      <c r="Y106" s="481"/>
      <c r="Z106" s="481"/>
      <c r="AA106" s="481"/>
      <c r="AB106" s="481"/>
      <c r="AC106" s="481"/>
      <c r="AD106" s="481"/>
      <c r="AE106" s="481"/>
      <c r="AF106" s="481"/>
      <c r="AG106" s="481"/>
      <c r="AH106" s="481"/>
      <c r="AI106" s="481"/>
      <c r="AJ106" s="481"/>
      <c r="AK106" s="481"/>
      <c r="AL106" s="481"/>
      <c r="AM106" s="481"/>
      <c r="AN106" s="481"/>
      <c r="AO106" s="481"/>
      <c r="AP106" s="481"/>
    </row>
    <row r="107" spans="1:42" s="125" customFormat="1" x14ac:dyDescent="0.25">
      <c r="A107" s="481"/>
      <c r="B107" s="484"/>
      <c r="C107" s="481"/>
      <c r="D107" s="481"/>
      <c r="E107" s="481"/>
      <c r="F107" s="481"/>
      <c r="G107" s="481"/>
      <c r="H107" s="481"/>
      <c r="I107" s="481"/>
      <c r="J107" s="481"/>
      <c r="K107" s="481"/>
      <c r="L107" s="481"/>
      <c r="M107" s="481"/>
      <c r="N107" s="481"/>
      <c r="O107" s="481"/>
      <c r="P107" s="481"/>
      <c r="Q107" s="481"/>
      <c r="R107" s="481"/>
      <c r="S107" s="481"/>
      <c r="T107" s="481"/>
      <c r="U107" s="481"/>
      <c r="V107" s="481"/>
      <c r="W107" s="481"/>
      <c r="X107" s="481"/>
      <c r="Y107" s="481"/>
      <c r="Z107" s="481"/>
      <c r="AA107" s="481"/>
      <c r="AB107" s="481"/>
      <c r="AC107" s="481"/>
      <c r="AD107" s="481"/>
      <c r="AE107" s="481"/>
      <c r="AF107" s="481"/>
      <c r="AG107" s="481"/>
      <c r="AH107" s="481"/>
      <c r="AI107" s="481"/>
      <c r="AJ107" s="481"/>
      <c r="AK107" s="481"/>
      <c r="AL107" s="481"/>
      <c r="AM107" s="481"/>
      <c r="AN107" s="481"/>
      <c r="AO107" s="481"/>
      <c r="AP107" s="481"/>
    </row>
    <row r="108" spans="1:42" s="125" customFormat="1" x14ac:dyDescent="0.25">
      <c r="A108" s="481"/>
      <c r="B108" s="484"/>
      <c r="C108" s="481"/>
      <c r="D108" s="481"/>
      <c r="E108" s="481"/>
      <c r="F108" s="481"/>
      <c r="G108" s="481"/>
      <c r="H108" s="481"/>
      <c r="I108" s="481"/>
      <c r="J108" s="481"/>
      <c r="K108" s="481"/>
      <c r="L108" s="481"/>
      <c r="M108" s="481"/>
      <c r="N108" s="481"/>
      <c r="O108" s="481"/>
      <c r="P108" s="481"/>
      <c r="Q108" s="481"/>
      <c r="R108" s="481"/>
      <c r="S108" s="481"/>
      <c r="T108" s="481"/>
      <c r="U108" s="481"/>
      <c r="V108" s="481"/>
      <c r="W108" s="481"/>
      <c r="X108" s="481"/>
      <c r="Y108" s="481"/>
      <c r="Z108" s="481"/>
      <c r="AA108" s="481"/>
      <c r="AB108" s="481"/>
      <c r="AC108" s="481"/>
      <c r="AD108" s="481"/>
      <c r="AE108" s="481"/>
      <c r="AF108" s="481"/>
      <c r="AG108" s="481"/>
      <c r="AH108" s="481"/>
      <c r="AI108" s="481"/>
      <c r="AJ108" s="481"/>
      <c r="AK108" s="481"/>
      <c r="AL108" s="481"/>
      <c r="AM108" s="481"/>
      <c r="AN108" s="481"/>
      <c r="AO108" s="481"/>
      <c r="AP108" s="481"/>
    </row>
    <row r="109" spans="1:42" s="125" customFormat="1" x14ac:dyDescent="0.25">
      <c r="A109" s="481"/>
      <c r="B109" s="484"/>
      <c r="C109" s="481"/>
      <c r="D109" s="481"/>
      <c r="E109" s="481"/>
      <c r="F109" s="481"/>
      <c r="G109" s="481"/>
      <c r="H109" s="481"/>
      <c r="I109" s="481"/>
      <c r="J109" s="481"/>
      <c r="K109" s="481"/>
      <c r="L109" s="481"/>
      <c r="M109" s="481"/>
      <c r="N109" s="481"/>
      <c r="O109" s="481"/>
      <c r="P109" s="481"/>
      <c r="Q109" s="481"/>
      <c r="R109" s="481"/>
      <c r="S109" s="481"/>
      <c r="T109" s="481"/>
      <c r="U109" s="481"/>
      <c r="V109" s="481"/>
      <c r="W109" s="481"/>
      <c r="X109" s="481"/>
      <c r="Y109" s="481"/>
      <c r="Z109" s="481"/>
      <c r="AA109" s="481"/>
      <c r="AB109" s="481"/>
      <c r="AC109" s="481"/>
      <c r="AD109" s="481"/>
      <c r="AE109" s="481"/>
      <c r="AF109" s="481"/>
      <c r="AG109" s="481"/>
      <c r="AH109" s="481"/>
      <c r="AI109" s="481"/>
      <c r="AJ109" s="481"/>
      <c r="AK109" s="481"/>
      <c r="AL109" s="481"/>
      <c r="AM109" s="481"/>
      <c r="AN109" s="481"/>
      <c r="AO109" s="481"/>
      <c r="AP109" s="481"/>
    </row>
    <row r="110" spans="1:42" s="125" customFormat="1" x14ac:dyDescent="0.25">
      <c r="A110" s="481"/>
      <c r="B110" s="484"/>
      <c r="C110" s="481"/>
      <c r="D110" s="481"/>
      <c r="E110" s="481"/>
      <c r="F110" s="481"/>
      <c r="G110" s="481"/>
      <c r="H110" s="481"/>
      <c r="I110" s="481"/>
      <c r="J110" s="481"/>
      <c r="K110" s="481"/>
      <c r="L110" s="481"/>
      <c r="M110" s="481"/>
      <c r="N110" s="481"/>
      <c r="O110" s="481"/>
      <c r="P110" s="481"/>
      <c r="Q110" s="481"/>
      <c r="R110" s="481"/>
      <c r="S110" s="481"/>
      <c r="T110" s="481"/>
      <c r="U110" s="481"/>
      <c r="V110" s="481"/>
      <c r="W110" s="481"/>
      <c r="X110" s="481"/>
      <c r="Y110" s="481"/>
      <c r="Z110" s="481"/>
      <c r="AA110" s="481"/>
      <c r="AB110" s="481"/>
      <c r="AC110" s="481"/>
      <c r="AD110" s="481"/>
      <c r="AE110" s="481"/>
      <c r="AF110" s="481"/>
      <c r="AG110" s="481"/>
      <c r="AH110" s="481"/>
      <c r="AI110" s="481"/>
      <c r="AJ110" s="481"/>
      <c r="AK110" s="481"/>
      <c r="AL110" s="481"/>
      <c r="AM110" s="481"/>
      <c r="AN110" s="481"/>
      <c r="AO110" s="481"/>
      <c r="AP110" s="481"/>
    </row>
    <row r="111" spans="1:42" s="125" customFormat="1" x14ac:dyDescent="0.25">
      <c r="A111" s="481"/>
      <c r="B111" s="484"/>
      <c r="C111" s="481"/>
      <c r="D111" s="481"/>
      <c r="E111" s="481"/>
      <c r="F111" s="481"/>
      <c r="G111" s="481"/>
      <c r="H111" s="481"/>
      <c r="I111" s="481"/>
      <c r="J111" s="481"/>
      <c r="K111" s="481"/>
      <c r="L111" s="481"/>
      <c r="M111" s="481"/>
      <c r="N111" s="481"/>
      <c r="O111" s="481"/>
      <c r="P111" s="481"/>
      <c r="Q111" s="481"/>
      <c r="R111" s="481"/>
      <c r="S111" s="481"/>
      <c r="T111" s="481"/>
      <c r="U111" s="481"/>
      <c r="V111" s="481"/>
      <c r="W111" s="481"/>
      <c r="X111" s="481"/>
      <c r="Y111" s="481"/>
      <c r="Z111" s="481"/>
      <c r="AA111" s="481"/>
      <c r="AB111" s="481"/>
      <c r="AC111" s="481"/>
      <c r="AD111" s="481"/>
      <c r="AE111" s="481"/>
      <c r="AF111" s="481"/>
      <c r="AG111" s="481"/>
      <c r="AH111" s="481"/>
      <c r="AI111" s="481"/>
      <c r="AJ111" s="481"/>
      <c r="AK111" s="481"/>
      <c r="AL111" s="481"/>
      <c r="AM111" s="481"/>
      <c r="AN111" s="481"/>
      <c r="AO111" s="481"/>
      <c r="AP111" s="481"/>
    </row>
    <row r="112" spans="1:42" s="125" customFormat="1" x14ac:dyDescent="0.25">
      <c r="A112" s="481"/>
      <c r="B112" s="484"/>
      <c r="C112" s="481"/>
      <c r="D112" s="481"/>
      <c r="E112" s="481"/>
      <c r="F112" s="481"/>
      <c r="G112" s="481"/>
      <c r="H112" s="481"/>
      <c r="I112" s="481"/>
      <c r="J112" s="481"/>
      <c r="K112" s="481"/>
      <c r="L112" s="481"/>
      <c r="M112" s="481"/>
      <c r="N112" s="481"/>
      <c r="O112" s="481"/>
      <c r="P112" s="481"/>
      <c r="Q112" s="481"/>
      <c r="R112" s="481"/>
      <c r="S112" s="481"/>
      <c r="T112" s="481"/>
      <c r="U112" s="481"/>
      <c r="V112" s="481"/>
      <c r="W112" s="481"/>
      <c r="X112" s="481"/>
      <c r="Y112" s="481"/>
      <c r="Z112" s="481"/>
      <c r="AA112" s="481"/>
      <c r="AB112" s="481"/>
      <c r="AC112" s="481"/>
      <c r="AD112" s="481"/>
      <c r="AE112" s="481"/>
      <c r="AF112" s="481"/>
      <c r="AG112" s="481"/>
      <c r="AH112" s="481"/>
      <c r="AI112" s="481"/>
      <c r="AJ112" s="481"/>
      <c r="AK112" s="481"/>
      <c r="AL112" s="481"/>
      <c r="AM112" s="481"/>
      <c r="AN112" s="481"/>
      <c r="AO112" s="481"/>
      <c r="AP112" s="481"/>
    </row>
    <row r="113" spans="1:42" s="125" customFormat="1" x14ac:dyDescent="0.25">
      <c r="A113" s="481"/>
      <c r="B113" s="484"/>
      <c r="C113" s="481"/>
      <c r="D113" s="481"/>
      <c r="E113" s="481"/>
      <c r="F113" s="481"/>
      <c r="G113" s="481"/>
      <c r="H113" s="481"/>
      <c r="I113" s="481"/>
      <c r="J113" s="481"/>
      <c r="K113" s="481"/>
      <c r="L113" s="481"/>
      <c r="M113" s="481"/>
      <c r="N113" s="481"/>
      <c r="O113" s="481"/>
      <c r="P113" s="481"/>
      <c r="Q113" s="481"/>
      <c r="R113" s="481"/>
      <c r="S113" s="481"/>
      <c r="T113" s="481"/>
      <c r="U113" s="481"/>
      <c r="V113" s="481"/>
      <c r="W113" s="481"/>
      <c r="X113" s="481"/>
      <c r="Y113" s="481"/>
      <c r="Z113" s="481"/>
      <c r="AA113" s="481"/>
      <c r="AB113" s="481"/>
      <c r="AC113" s="481"/>
      <c r="AD113" s="481"/>
      <c r="AE113" s="481"/>
      <c r="AF113" s="481"/>
      <c r="AG113" s="481"/>
      <c r="AH113" s="481"/>
      <c r="AI113" s="481"/>
      <c r="AJ113" s="481"/>
      <c r="AK113" s="481"/>
      <c r="AL113" s="481"/>
      <c r="AM113" s="481"/>
      <c r="AN113" s="481"/>
      <c r="AO113" s="481"/>
      <c r="AP113" s="481"/>
    </row>
    <row r="114" spans="1:42" s="125" customFormat="1" x14ac:dyDescent="0.25">
      <c r="A114" s="481"/>
      <c r="B114" s="484"/>
      <c r="C114" s="481"/>
      <c r="D114" s="481"/>
      <c r="E114" s="481"/>
      <c r="F114" s="481"/>
      <c r="G114" s="481"/>
      <c r="H114" s="481"/>
      <c r="I114" s="481"/>
      <c r="J114" s="481"/>
      <c r="K114" s="481"/>
      <c r="L114" s="481"/>
      <c r="M114" s="481"/>
      <c r="N114" s="481"/>
      <c r="O114" s="481"/>
      <c r="P114" s="481"/>
      <c r="Q114" s="481"/>
      <c r="R114" s="481"/>
      <c r="S114" s="481"/>
      <c r="T114" s="481"/>
      <c r="U114" s="481"/>
      <c r="V114" s="481"/>
      <c r="W114" s="481"/>
      <c r="X114" s="481"/>
      <c r="Y114" s="481"/>
      <c r="Z114" s="481"/>
      <c r="AA114" s="481"/>
      <c r="AB114" s="481"/>
      <c r="AC114" s="481"/>
      <c r="AD114" s="481"/>
      <c r="AE114" s="481"/>
      <c r="AF114" s="481"/>
      <c r="AG114" s="481"/>
      <c r="AH114" s="481"/>
      <c r="AI114" s="481"/>
      <c r="AJ114" s="481"/>
      <c r="AK114" s="481"/>
      <c r="AL114" s="481"/>
      <c r="AM114" s="481"/>
      <c r="AN114" s="481"/>
      <c r="AO114" s="481"/>
      <c r="AP114" s="481"/>
    </row>
    <row r="115" spans="1:42" s="125" customFormat="1" x14ac:dyDescent="0.25">
      <c r="A115" s="481"/>
      <c r="B115" s="484"/>
      <c r="C115" s="481"/>
      <c r="D115" s="481"/>
      <c r="E115" s="481"/>
      <c r="F115" s="481"/>
      <c r="G115" s="481"/>
      <c r="H115" s="481"/>
      <c r="I115" s="481"/>
      <c r="J115" s="481"/>
      <c r="K115" s="481"/>
      <c r="L115" s="481"/>
      <c r="M115" s="481"/>
      <c r="N115" s="481"/>
      <c r="O115" s="481"/>
      <c r="P115" s="481"/>
      <c r="Q115" s="481"/>
      <c r="R115" s="481"/>
      <c r="S115" s="481"/>
      <c r="T115" s="481"/>
      <c r="U115" s="481"/>
      <c r="V115" s="481"/>
      <c r="W115" s="481"/>
      <c r="X115" s="481"/>
      <c r="Y115" s="481"/>
      <c r="Z115" s="481"/>
      <c r="AA115" s="481"/>
      <c r="AB115" s="481"/>
      <c r="AC115" s="481"/>
      <c r="AD115" s="481"/>
      <c r="AE115" s="481"/>
      <c r="AF115" s="481"/>
      <c r="AG115" s="481"/>
      <c r="AH115" s="481"/>
      <c r="AI115" s="481"/>
      <c r="AJ115" s="481"/>
      <c r="AK115" s="481"/>
      <c r="AL115" s="481"/>
      <c r="AM115" s="481"/>
      <c r="AN115" s="481"/>
      <c r="AO115" s="481"/>
      <c r="AP115" s="481"/>
    </row>
    <row r="116" spans="1:42" s="125" customFormat="1" x14ac:dyDescent="0.25">
      <c r="A116" s="481"/>
      <c r="B116" s="484"/>
      <c r="C116" s="481"/>
      <c r="D116" s="481"/>
      <c r="E116" s="481"/>
      <c r="F116" s="481"/>
      <c r="G116" s="481"/>
      <c r="H116" s="481"/>
      <c r="I116" s="481"/>
      <c r="J116" s="481"/>
      <c r="K116" s="481"/>
      <c r="L116" s="481"/>
      <c r="M116" s="481"/>
      <c r="N116" s="481"/>
      <c r="O116" s="481"/>
      <c r="P116" s="481"/>
      <c r="Q116" s="481"/>
      <c r="R116" s="481"/>
      <c r="S116" s="481"/>
      <c r="T116" s="481"/>
      <c r="U116" s="481"/>
      <c r="V116" s="481"/>
      <c r="W116" s="481"/>
      <c r="X116" s="481"/>
      <c r="Y116" s="481"/>
      <c r="Z116" s="481"/>
      <c r="AA116" s="481"/>
      <c r="AB116" s="481"/>
      <c r="AC116" s="481"/>
      <c r="AD116" s="481"/>
      <c r="AE116" s="481"/>
      <c r="AF116" s="481"/>
      <c r="AG116" s="481"/>
      <c r="AH116" s="481"/>
      <c r="AI116" s="481"/>
      <c r="AJ116" s="481"/>
      <c r="AK116" s="481"/>
      <c r="AL116" s="481"/>
      <c r="AM116" s="481"/>
      <c r="AN116" s="481"/>
      <c r="AO116" s="481"/>
      <c r="AP116" s="481"/>
    </row>
    <row r="117" spans="1:42" s="125" customFormat="1" x14ac:dyDescent="0.25">
      <c r="A117" s="481"/>
      <c r="B117" s="484"/>
      <c r="C117" s="481"/>
      <c r="D117" s="481"/>
      <c r="E117" s="481"/>
      <c r="F117" s="481"/>
      <c r="G117" s="481"/>
      <c r="H117" s="481"/>
      <c r="I117" s="481"/>
      <c r="J117" s="481"/>
      <c r="K117" s="481"/>
      <c r="L117" s="481"/>
      <c r="M117" s="481"/>
      <c r="N117" s="481"/>
      <c r="O117" s="481"/>
      <c r="P117" s="481"/>
      <c r="Q117" s="481"/>
      <c r="R117" s="481"/>
      <c r="S117" s="481"/>
      <c r="T117" s="481"/>
      <c r="U117" s="481"/>
      <c r="V117" s="481"/>
      <c r="W117" s="481"/>
      <c r="X117" s="481"/>
      <c r="Y117" s="481"/>
      <c r="Z117" s="481"/>
      <c r="AA117" s="481"/>
      <c r="AB117" s="481"/>
      <c r="AC117" s="481"/>
      <c r="AD117" s="481"/>
      <c r="AE117" s="481"/>
      <c r="AF117" s="481"/>
      <c r="AG117" s="481"/>
      <c r="AH117" s="481"/>
      <c r="AI117" s="481"/>
      <c r="AJ117" s="481"/>
      <c r="AK117" s="481"/>
      <c r="AL117" s="481"/>
      <c r="AM117" s="481"/>
      <c r="AN117" s="481"/>
      <c r="AO117" s="481"/>
      <c r="AP117" s="481"/>
    </row>
    <row r="118" spans="1:42" s="125" customFormat="1" x14ac:dyDescent="0.25">
      <c r="A118" s="481"/>
      <c r="B118" s="484"/>
      <c r="C118" s="481"/>
      <c r="D118" s="481"/>
      <c r="E118" s="481"/>
      <c r="F118" s="481"/>
      <c r="G118" s="481"/>
      <c r="H118" s="481"/>
      <c r="I118" s="481"/>
      <c r="J118" s="481"/>
      <c r="K118" s="481"/>
      <c r="L118" s="481"/>
      <c r="M118" s="481"/>
      <c r="N118" s="481"/>
      <c r="O118" s="481"/>
      <c r="P118" s="481"/>
      <c r="Q118" s="481"/>
      <c r="R118" s="481"/>
      <c r="S118" s="481"/>
      <c r="T118" s="481"/>
      <c r="U118" s="481"/>
      <c r="V118" s="481"/>
      <c r="W118" s="481"/>
      <c r="X118" s="481"/>
      <c r="Y118" s="481"/>
      <c r="Z118" s="481"/>
      <c r="AA118" s="481"/>
      <c r="AB118" s="481"/>
      <c r="AC118" s="481"/>
      <c r="AD118" s="481"/>
      <c r="AE118" s="481"/>
      <c r="AF118" s="481"/>
      <c r="AG118" s="481"/>
      <c r="AH118" s="481"/>
      <c r="AI118" s="481"/>
      <c r="AJ118" s="481"/>
      <c r="AK118" s="481"/>
      <c r="AL118" s="481"/>
      <c r="AM118" s="481"/>
      <c r="AN118" s="481"/>
      <c r="AO118" s="481"/>
      <c r="AP118" s="481"/>
    </row>
    <row r="119" spans="1:42" s="125" customFormat="1" x14ac:dyDescent="0.25">
      <c r="A119" s="481"/>
      <c r="B119" s="484"/>
      <c r="C119" s="481"/>
      <c r="D119" s="481"/>
      <c r="E119" s="481"/>
      <c r="F119" s="481"/>
      <c r="G119" s="481"/>
      <c r="H119" s="481"/>
      <c r="I119" s="481"/>
      <c r="J119" s="481"/>
      <c r="K119" s="481"/>
      <c r="L119" s="481"/>
      <c r="M119" s="481"/>
      <c r="N119" s="481"/>
      <c r="O119" s="481"/>
      <c r="P119" s="481"/>
      <c r="Q119" s="481"/>
      <c r="R119" s="481"/>
      <c r="S119" s="481"/>
      <c r="T119" s="481"/>
      <c r="U119" s="481"/>
      <c r="V119" s="481"/>
      <c r="W119" s="481"/>
      <c r="X119" s="481"/>
      <c r="Y119" s="481"/>
      <c r="Z119" s="481"/>
      <c r="AA119" s="481"/>
      <c r="AB119" s="481"/>
      <c r="AC119" s="481"/>
      <c r="AD119" s="481"/>
      <c r="AE119" s="481"/>
      <c r="AF119" s="481"/>
      <c r="AG119" s="481"/>
      <c r="AH119" s="481"/>
      <c r="AI119" s="481"/>
      <c r="AJ119" s="481"/>
      <c r="AK119" s="481"/>
      <c r="AL119" s="481"/>
      <c r="AM119" s="481"/>
      <c r="AN119" s="481"/>
      <c r="AO119" s="481"/>
      <c r="AP119" s="481"/>
    </row>
    <row r="120" spans="1:42" s="125" customFormat="1" x14ac:dyDescent="0.25">
      <c r="A120" s="481"/>
      <c r="B120" s="484"/>
      <c r="C120" s="481"/>
      <c r="D120" s="481"/>
      <c r="E120" s="481"/>
      <c r="F120" s="481"/>
      <c r="G120" s="481"/>
      <c r="H120" s="481"/>
      <c r="I120" s="481"/>
      <c r="J120" s="481"/>
      <c r="K120" s="481"/>
      <c r="L120" s="481"/>
      <c r="M120" s="481"/>
      <c r="N120" s="481"/>
      <c r="O120" s="481"/>
      <c r="P120" s="481"/>
      <c r="Q120" s="481"/>
      <c r="R120" s="481"/>
      <c r="S120" s="481"/>
      <c r="T120" s="481"/>
      <c r="U120" s="481"/>
      <c r="V120" s="481"/>
      <c r="W120" s="481"/>
      <c r="X120" s="481"/>
      <c r="Y120" s="481"/>
      <c r="Z120" s="481"/>
      <c r="AA120" s="481"/>
      <c r="AB120" s="481"/>
      <c r="AC120" s="481"/>
      <c r="AD120" s="481"/>
      <c r="AE120" s="481"/>
      <c r="AF120" s="481"/>
      <c r="AG120" s="481"/>
      <c r="AH120" s="481"/>
      <c r="AI120" s="481"/>
      <c r="AJ120" s="481"/>
      <c r="AK120" s="481"/>
      <c r="AL120" s="481"/>
      <c r="AM120" s="481"/>
      <c r="AN120" s="481"/>
      <c r="AO120" s="481"/>
      <c r="AP120" s="481"/>
    </row>
    <row r="121" spans="1:42" s="125" customFormat="1" x14ac:dyDescent="0.25">
      <c r="A121" s="481"/>
      <c r="B121" s="484"/>
      <c r="C121" s="481"/>
      <c r="D121" s="481"/>
      <c r="E121" s="481"/>
      <c r="F121" s="481"/>
      <c r="G121" s="481"/>
      <c r="H121" s="481"/>
      <c r="I121" s="481"/>
      <c r="J121" s="481"/>
      <c r="K121" s="481"/>
      <c r="L121" s="481"/>
      <c r="M121" s="481"/>
      <c r="N121" s="481"/>
      <c r="O121" s="481"/>
      <c r="P121" s="481"/>
      <c r="Q121" s="481"/>
      <c r="R121" s="481"/>
      <c r="S121" s="481"/>
      <c r="T121" s="481"/>
      <c r="U121" s="481"/>
      <c r="V121" s="481"/>
      <c r="W121" s="481"/>
      <c r="X121" s="481"/>
      <c r="Y121" s="481"/>
      <c r="Z121" s="481"/>
      <c r="AA121" s="481"/>
      <c r="AB121" s="481"/>
      <c r="AC121" s="481"/>
      <c r="AD121" s="481"/>
      <c r="AE121" s="481"/>
      <c r="AF121" s="481"/>
      <c r="AG121" s="481"/>
      <c r="AH121" s="481"/>
      <c r="AI121" s="481"/>
      <c r="AJ121" s="481"/>
      <c r="AK121" s="481"/>
      <c r="AL121" s="481"/>
      <c r="AM121" s="481"/>
      <c r="AN121" s="481"/>
      <c r="AO121" s="481"/>
      <c r="AP121" s="481"/>
    </row>
    <row r="122" spans="1:42" s="125" customFormat="1" x14ac:dyDescent="0.25">
      <c r="A122" s="481"/>
      <c r="B122" s="484"/>
      <c r="C122" s="481"/>
      <c r="D122" s="481"/>
      <c r="E122" s="481"/>
      <c r="F122" s="481"/>
      <c r="G122" s="481"/>
      <c r="H122" s="481"/>
      <c r="I122" s="481"/>
      <c r="J122" s="481"/>
      <c r="K122" s="481"/>
      <c r="L122" s="481"/>
      <c r="M122" s="481"/>
      <c r="N122" s="481"/>
      <c r="O122" s="481"/>
      <c r="P122" s="481"/>
      <c r="Q122" s="481"/>
      <c r="R122" s="481"/>
      <c r="S122" s="481"/>
      <c r="T122" s="481"/>
      <c r="U122" s="481"/>
      <c r="V122" s="481"/>
      <c r="W122" s="481"/>
      <c r="X122" s="481"/>
      <c r="Y122" s="481"/>
      <c r="Z122" s="481"/>
      <c r="AA122" s="481"/>
      <c r="AB122" s="481"/>
      <c r="AC122" s="481"/>
      <c r="AD122" s="481"/>
      <c r="AE122" s="481"/>
      <c r="AF122" s="481"/>
      <c r="AG122" s="481"/>
      <c r="AH122" s="481"/>
      <c r="AI122" s="481"/>
      <c r="AJ122" s="481"/>
      <c r="AK122" s="481"/>
      <c r="AL122" s="481"/>
      <c r="AM122" s="481"/>
      <c r="AN122" s="481"/>
      <c r="AO122" s="481"/>
      <c r="AP122" s="481"/>
    </row>
    <row r="123" spans="1:42" s="125" customFormat="1" x14ac:dyDescent="0.25">
      <c r="A123" s="481"/>
      <c r="B123" s="484"/>
      <c r="C123" s="481"/>
      <c r="D123" s="481"/>
      <c r="E123" s="481"/>
      <c r="F123" s="481"/>
      <c r="G123" s="481"/>
      <c r="H123" s="481"/>
      <c r="I123" s="481"/>
      <c r="J123" s="481"/>
      <c r="K123" s="481"/>
      <c r="L123" s="481"/>
      <c r="M123" s="481"/>
      <c r="N123" s="481"/>
      <c r="O123" s="481"/>
      <c r="P123" s="481"/>
      <c r="Q123" s="481"/>
      <c r="R123" s="481"/>
      <c r="S123" s="481"/>
      <c r="T123" s="481"/>
      <c r="U123" s="481"/>
      <c r="V123" s="481"/>
      <c r="W123" s="481"/>
      <c r="X123" s="481"/>
      <c r="Y123" s="481"/>
      <c r="Z123" s="481"/>
      <c r="AA123" s="481"/>
      <c r="AB123" s="481"/>
      <c r="AC123" s="481"/>
      <c r="AD123" s="481"/>
      <c r="AE123" s="481"/>
      <c r="AF123" s="481"/>
      <c r="AG123" s="481"/>
      <c r="AH123" s="481"/>
      <c r="AI123" s="481"/>
      <c r="AJ123" s="481"/>
      <c r="AK123" s="481"/>
      <c r="AL123" s="481"/>
      <c r="AM123" s="481"/>
      <c r="AN123" s="481"/>
      <c r="AO123" s="481"/>
      <c r="AP123" s="481"/>
    </row>
    <row r="124" spans="1:42" s="125" customFormat="1" x14ac:dyDescent="0.25">
      <c r="A124" s="481"/>
      <c r="B124" s="484"/>
      <c r="C124" s="481"/>
      <c r="D124" s="481"/>
      <c r="E124" s="481"/>
      <c r="F124" s="481"/>
      <c r="G124" s="481"/>
      <c r="H124" s="481"/>
      <c r="I124" s="481"/>
      <c r="J124" s="481"/>
      <c r="K124" s="481"/>
      <c r="L124" s="481"/>
      <c r="M124" s="481"/>
      <c r="N124" s="481"/>
      <c r="O124" s="481"/>
      <c r="P124" s="481"/>
      <c r="Q124" s="481"/>
      <c r="R124" s="481"/>
      <c r="S124" s="481"/>
      <c r="T124" s="481"/>
      <c r="U124" s="481"/>
      <c r="V124" s="481"/>
      <c r="W124" s="481"/>
      <c r="X124" s="481"/>
      <c r="Y124" s="481"/>
      <c r="Z124" s="481"/>
      <c r="AA124" s="481"/>
      <c r="AB124" s="481"/>
      <c r="AC124" s="481"/>
      <c r="AD124" s="481"/>
      <c r="AE124" s="481"/>
      <c r="AF124" s="481"/>
      <c r="AG124" s="481"/>
      <c r="AH124" s="481"/>
      <c r="AI124" s="481"/>
      <c r="AJ124" s="481"/>
      <c r="AK124" s="481"/>
      <c r="AL124" s="481"/>
      <c r="AM124" s="481"/>
      <c r="AN124" s="481"/>
      <c r="AO124" s="481"/>
      <c r="AP124" s="481"/>
    </row>
    <row r="125" spans="1:42" s="125" customFormat="1" x14ac:dyDescent="0.25">
      <c r="A125" s="481"/>
      <c r="B125" s="484"/>
      <c r="C125" s="481"/>
      <c r="D125" s="481"/>
      <c r="E125" s="481"/>
      <c r="F125" s="481"/>
      <c r="G125" s="481"/>
      <c r="H125" s="481"/>
      <c r="I125" s="481"/>
      <c r="J125" s="481"/>
      <c r="K125" s="481"/>
      <c r="L125" s="481"/>
      <c r="M125" s="481"/>
      <c r="N125" s="481"/>
      <c r="O125" s="481"/>
      <c r="P125" s="481"/>
      <c r="Q125" s="481"/>
      <c r="R125" s="481"/>
      <c r="S125" s="481"/>
      <c r="T125" s="481"/>
      <c r="U125" s="481"/>
      <c r="V125" s="481"/>
      <c r="W125" s="481"/>
      <c r="X125" s="481"/>
      <c r="Y125" s="481"/>
      <c r="Z125" s="481"/>
      <c r="AA125" s="481"/>
      <c r="AB125" s="481"/>
      <c r="AC125" s="481"/>
      <c r="AD125" s="481"/>
      <c r="AE125" s="481"/>
      <c r="AF125" s="481"/>
      <c r="AG125" s="481"/>
      <c r="AH125" s="481"/>
      <c r="AI125" s="481"/>
      <c r="AJ125" s="481"/>
      <c r="AK125" s="481"/>
      <c r="AL125" s="481"/>
      <c r="AM125" s="481"/>
      <c r="AN125" s="481"/>
      <c r="AO125" s="481"/>
      <c r="AP125" s="481"/>
    </row>
    <row r="126" spans="1:42" s="125" customFormat="1" x14ac:dyDescent="0.25">
      <c r="A126" s="481"/>
      <c r="B126" s="484"/>
      <c r="C126" s="481"/>
      <c r="D126" s="481"/>
      <c r="E126" s="481"/>
      <c r="F126" s="481"/>
      <c r="G126" s="481"/>
      <c r="H126" s="481"/>
      <c r="I126" s="481"/>
      <c r="J126" s="481"/>
      <c r="K126" s="481"/>
      <c r="L126" s="481"/>
      <c r="M126" s="481"/>
      <c r="N126" s="481"/>
      <c r="O126" s="481"/>
      <c r="P126" s="481"/>
      <c r="Q126" s="481"/>
      <c r="R126" s="481"/>
      <c r="S126" s="481"/>
      <c r="T126" s="481"/>
      <c r="U126" s="481"/>
      <c r="V126" s="481"/>
      <c r="W126" s="481"/>
      <c r="X126" s="481"/>
      <c r="Y126" s="481"/>
      <c r="Z126" s="481"/>
      <c r="AA126" s="481"/>
      <c r="AB126" s="481"/>
      <c r="AC126" s="481"/>
      <c r="AD126" s="481"/>
      <c r="AE126" s="481"/>
      <c r="AF126" s="481"/>
      <c r="AG126" s="481"/>
      <c r="AH126" s="481"/>
      <c r="AI126" s="481"/>
      <c r="AJ126" s="481"/>
      <c r="AK126" s="481"/>
      <c r="AL126" s="481"/>
      <c r="AM126" s="481"/>
      <c r="AN126" s="481"/>
      <c r="AO126" s="481"/>
      <c r="AP126" s="481"/>
    </row>
    <row r="127" spans="1:42" s="125" customFormat="1" x14ac:dyDescent="0.25">
      <c r="A127" s="481"/>
      <c r="B127" s="484"/>
      <c r="C127" s="481"/>
      <c r="D127" s="481"/>
      <c r="E127" s="481"/>
      <c r="F127" s="481"/>
      <c r="G127" s="481"/>
      <c r="H127" s="481"/>
      <c r="I127" s="481"/>
      <c r="J127" s="481"/>
      <c r="K127" s="481"/>
      <c r="L127" s="481"/>
      <c r="M127" s="481"/>
      <c r="N127" s="481"/>
      <c r="O127" s="481"/>
      <c r="P127" s="481"/>
      <c r="Q127" s="481"/>
      <c r="R127" s="481"/>
      <c r="S127" s="481"/>
      <c r="T127" s="481"/>
      <c r="U127" s="481"/>
      <c r="V127" s="481"/>
      <c r="W127" s="481"/>
      <c r="X127" s="481"/>
      <c r="Y127" s="481"/>
      <c r="Z127" s="481"/>
      <c r="AA127" s="481"/>
      <c r="AB127" s="481"/>
      <c r="AC127" s="481"/>
      <c r="AD127" s="481"/>
      <c r="AE127" s="481"/>
      <c r="AF127" s="481"/>
      <c r="AG127" s="481"/>
      <c r="AH127" s="481"/>
      <c r="AI127" s="481"/>
      <c r="AJ127" s="481"/>
      <c r="AK127" s="481"/>
      <c r="AL127" s="481"/>
      <c r="AM127" s="481"/>
      <c r="AN127" s="481"/>
      <c r="AO127" s="481"/>
      <c r="AP127" s="481"/>
    </row>
    <row r="128" spans="1:42" s="125" customFormat="1" x14ac:dyDescent="0.25">
      <c r="A128" s="481"/>
      <c r="B128" s="484"/>
      <c r="C128" s="481"/>
      <c r="D128" s="481"/>
      <c r="E128" s="481"/>
      <c r="F128" s="481"/>
      <c r="G128" s="481"/>
      <c r="H128" s="481"/>
      <c r="I128" s="481"/>
      <c r="J128" s="481"/>
      <c r="K128" s="481"/>
      <c r="L128" s="481"/>
      <c r="M128" s="481"/>
      <c r="N128" s="481"/>
      <c r="O128" s="481"/>
      <c r="P128" s="481"/>
      <c r="Q128" s="481"/>
      <c r="R128" s="481"/>
      <c r="S128" s="481"/>
      <c r="T128" s="481"/>
      <c r="U128" s="481"/>
      <c r="V128" s="481"/>
      <c r="W128" s="481"/>
      <c r="X128" s="481"/>
      <c r="Y128" s="481"/>
      <c r="Z128" s="481"/>
      <c r="AA128" s="481"/>
      <c r="AB128" s="481"/>
      <c r="AC128" s="481"/>
      <c r="AD128" s="481"/>
      <c r="AE128" s="481"/>
      <c r="AF128" s="481"/>
      <c r="AG128" s="481"/>
      <c r="AH128" s="481"/>
      <c r="AI128" s="481"/>
      <c r="AJ128" s="481"/>
      <c r="AK128" s="481"/>
      <c r="AL128" s="481"/>
      <c r="AM128" s="481"/>
      <c r="AN128" s="481"/>
      <c r="AO128" s="481"/>
      <c r="AP128" s="481"/>
    </row>
    <row r="129" spans="1:42" s="125" customFormat="1" x14ac:dyDescent="0.25">
      <c r="A129" s="481"/>
      <c r="B129" s="484"/>
      <c r="C129" s="481"/>
      <c r="D129" s="481"/>
      <c r="E129" s="481"/>
      <c r="F129" s="481"/>
      <c r="G129" s="481"/>
      <c r="H129" s="481"/>
      <c r="I129" s="481"/>
      <c r="J129" s="481"/>
      <c r="K129" s="481"/>
      <c r="L129" s="481"/>
      <c r="M129" s="481"/>
      <c r="N129" s="481"/>
      <c r="O129" s="481"/>
      <c r="P129" s="481"/>
      <c r="Q129" s="481"/>
      <c r="R129" s="481"/>
      <c r="S129" s="481"/>
      <c r="T129" s="481"/>
      <c r="U129" s="481"/>
      <c r="V129" s="481"/>
      <c r="W129" s="481"/>
      <c r="X129" s="481"/>
      <c r="Y129" s="481"/>
      <c r="Z129" s="481"/>
      <c r="AA129" s="481"/>
      <c r="AB129" s="481"/>
      <c r="AC129" s="481"/>
      <c r="AD129" s="481"/>
      <c r="AE129" s="481"/>
      <c r="AF129" s="481"/>
      <c r="AG129" s="481"/>
      <c r="AH129" s="481"/>
      <c r="AI129" s="481"/>
      <c r="AJ129" s="481"/>
      <c r="AK129" s="481"/>
      <c r="AL129" s="481"/>
      <c r="AM129" s="481"/>
      <c r="AN129" s="481"/>
      <c r="AO129" s="481"/>
      <c r="AP129" s="481"/>
    </row>
    <row r="130" spans="1:42" s="125" customFormat="1" x14ac:dyDescent="0.25">
      <c r="A130" s="481"/>
      <c r="B130" s="484"/>
      <c r="C130" s="481"/>
      <c r="D130" s="481"/>
      <c r="E130" s="481"/>
      <c r="F130" s="481"/>
      <c r="G130" s="481"/>
      <c r="H130" s="481"/>
      <c r="I130" s="481"/>
      <c r="J130" s="481"/>
      <c r="K130" s="481"/>
      <c r="L130" s="481"/>
      <c r="M130" s="481"/>
      <c r="N130" s="481"/>
      <c r="O130" s="481"/>
      <c r="P130" s="481"/>
      <c r="Q130" s="481"/>
      <c r="R130" s="481"/>
      <c r="S130" s="481"/>
      <c r="T130" s="481"/>
      <c r="U130" s="481"/>
      <c r="V130" s="481"/>
      <c r="W130" s="481"/>
      <c r="X130" s="481"/>
      <c r="Y130" s="481"/>
      <c r="Z130" s="481"/>
      <c r="AA130" s="481"/>
      <c r="AB130" s="481"/>
      <c r="AC130" s="481"/>
      <c r="AD130" s="481"/>
      <c r="AE130" s="481"/>
      <c r="AF130" s="481"/>
      <c r="AG130" s="481"/>
      <c r="AH130" s="481"/>
      <c r="AI130" s="481"/>
      <c r="AJ130" s="481"/>
      <c r="AK130" s="481"/>
      <c r="AL130" s="481"/>
      <c r="AM130" s="481"/>
      <c r="AN130" s="481"/>
      <c r="AO130" s="481"/>
      <c r="AP130" s="481"/>
    </row>
    <row r="131" spans="1:42" s="125" customFormat="1" x14ac:dyDescent="0.25">
      <c r="A131" s="481"/>
      <c r="B131" s="484"/>
      <c r="C131" s="481"/>
      <c r="D131" s="481"/>
      <c r="E131" s="481"/>
      <c r="F131" s="481"/>
      <c r="G131" s="481"/>
      <c r="H131" s="481"/>
      <c r="I131" s="481"/>
      <c r="J131" s="481"/>
      <c r="K131" s="481"/>
      <c r="L131" s="481"/>
      <c r="M131" s="481"/>
      <c r="N131" s="481"/>
      <c r="O131" s="481"/>
      <c r="P131" s="481"/>
      <c r="Q131" s="481"/>
      <c r="R131" s="481"/>
      <c r="S131" s="481"/>
      <c r="T131" s="481"/>
      <c r="U131" s="481"/>
      <c r="V131" s="481"/>
      <c r="W131" s="481"/>
      <c r="X131" s="481"/>
      <c r="Y131" s="481"/>
      <c r="Z131" s="481"/>
      <c r="AA131" s="481"/>
      <c r="AB131" s="481"/>
      <c r="AC131" s="481"/>
      <c r="AD131" s="481"/>
      <c r="AE131" s="481"/>
      <c r="AF131" s="481"/>
      <c r="AG131" s="481"/>
      <c r="AH131" s="481"/>
      <c r="AI131" s="481"/>
      <c r="AJ131" s="481"/>
      <c r="AK131" s="481"/>
      <c r="AL131" s="481"/>
      <c r="AM131" s="481"/>
      <c r="AN131" s="481"/>
      <c r="AO131" s="481"/>
      <c r="AP131" s="481"/>
    </row>
    <row r="132" spans="1:42" s="125" customFormat="1" x14ac:dyDescent="0.25">
      <c r="A132" s="481"/>
      <c r="B132" s="484"/>
      <c r="C132" s="481"/>
      <c r="D132" s="481"/>
      <c r="E132" s="481"/>
      <c r="F132" s="481"/>
      <c r="G132" s="481"/>
      <c r="H132" s="481"/>
      <c r="I132" s="481"/>
      <c r="J132" s="481"/>
      <c r="K132" s="481"/>
      <c r="L132" s="481"/>
      <c r="M132" s="481"/>
      <c r="N132" s="481"/>
      <c r="O132" s="481"/>
      <c r="P132" s="481"/>
      <c r="Q132" s="481"/>
      <c r="R132" s="481"/>
      <c r="S132" s="481"/>
      <c r="T132" s="481"/>
      <c r="U132" s="481"/>
      <c r="V132" s="481"/>
      <c r="W132" s="481"/>
      <c r="X132" s="481"/>
      <c r="Y132" s="481"/>
      <c r="Z132" s="481"/>
      <c r="AA132" s="481"/>
      <c r="AB132" s="481"/>
      <c r="AC132" s="481"/>
      <c r="AD132" s="481"/>
      <c r="AE132" s="481"/>
      <c r="AF132" s="481"/>
      <c r="AG132" s="481"/>
      <c r="AH132" s="481"/>
      <c r="AI132" s="481"/>
      <c r="AJ132" s="481"/>
      <c r="AK132" s="481"/>
      <c r="AL132" s="481"/>
      <c r="AM132" s="481"/>
      <c r="AN132" s="481"/>
      <c r="AO132" s="481"/>
      <c r="AP132" s="481"/>
    </row>
    <row r="133" spans="1:42" s="125" customFormat="1" x14ac:dyDescent="0.25">
      <c r="A133" s="481"/>
      <c r="B133" s="484"/>
      <c r="C133" s="481"/>
      <c r="D133" s="481"/>
      <c r="E133" s="481"/>
      <c r="F133" s="481"/>
      <c r="G133" s="481"/>
      <c r="H133" s="481"/>
      <c r="I133" s="481"/>
      <c r="J133" s="481"/>
      <c r="K133" s="481"/>
      <c r="L133" s="481"/>
      <c r="M133" s="481"/>
      <c r="N133" s="481"/>
      <c r="O133" s="481"/>
      <c r="P133" s="481"/>
      <c r="Q133" s="481"/>
      <c r="R133" s="481"/>
      <c r="S133" s="481"/>
      <c r="T133" s="481"/>
      <c r="U133" s="481"/>
      <c r="V133" s="481"/>
      <c r="W133" s="481"/>
      <c r="X133" s="481"/>
      <c r="Y133" s="481"/>
      <c r="Z133" s="481"/>
      <c r="AA133" s="481"/>
      <c r="AB133" s="481"/>
      <c r="AC133" s="481"/>
      <c r="AD133" s="481"/>
      <c r="AE133" s="481"/>
      <c r="AF133" s="481"/>
      <c r="AG133" s="481"/>
      <c r="AH133" s="481"/>
      <c r="AI133" s="481"/>
      <c r="AJ133" s="481"/>
      <c r="AK133" s="481"/>
      <c r="AL133" s="481"/>
      <c r="AM133" s="481"/>
      <c r="AN133" s="481"/>
      <c r="AO133" s="481"/>
      <c r="AP133" s="481"/>
    </row>
    <row r="134" spans="1:42" s="125" customFormat="1" x14ac:dyDescent="0.25">
      <c r="A134" s="481"/>
      <c r="B134" s="484"/>
      <c r="C134" s="481"/>
      <c r="D134" s="481"/>
      <c r="E134" s="481"/>
      <c r="F134" s="481"/>
      <c r="G134" s="481"/>
      <c r="H134" s="481"/>
      <c r="I134" s="481"/>
      <c r="J134" s="481"/>
      <c r="K134" s="481"/>
      <c r="L134" s="481"/>
      <c r="M134" s="481"/>
      <c r="N134" s="481"/>
      <c r="O134" s="481"/>
      <c r="P134" s="481"/>
      <c r="Q134" s="481"/>
      <c r="R134" s="481"/>
      <c r="S134" s="481"/>
      <c r="T134" s="481"/>
      <c r="U134" s="481"/>
      <c r="V134" s="481"/>
      <c r="W134" s="481"/>
      <c r="X134" s="481"/>
      <c r="Y134" s="481"/>
      <c r="Z134" s="481"/>
      <c r="AA134" s="481"/>
      <c r="AB134" s="481"/>
      <c r="AC134" s="481"/>
      <c r="AD134" s="481"/>
      <c r="AE134" s="481"/>
      <c r="AF134" s="481"/>
      <c r="AG134" s="481"/>
      <c r="AH134" s="481"/>
      <c r="AI134" s="481"/>
      <c r="AJ134" s="481"/>
      <c r="AK134" s="481"/>
      <c r="AL134" s="481"/>
      <c r="AM134" s="481"/>
      <c r="AN134" s="481"/>
      <c r="AO134" s="481"/>
      <c r="AP134" s="481"/>
    </row>
    <row r="135" spans="1:42" s="125" customFormat="1" x14ac:dyDescent="0.25">
      <c r="A135" s="481"/>
      <c r="B135" s="484"/>
      <c r="C135" s="481"/>
      <c r="D135" s="481"/>
      <c r="E135" s="481"/>
      <c r="F135" s="481"/>
      <c r="G135" s="481"/>
      <c r="H135" s="481"/>
      <c r="I135" s="481"/>
      <c r="J135" s="481"/>
      <c r="K135" s="481"/>
      <c r="L135" s="481"/>
      <c r="M135" s="481"/>
      <c r="N135" s="481"/>
      <c r="O135" s="481"/>
      <c r="P135" s="481"/>
      <c r="Q135" s="481"/>
      <c r="R135" s="481"/>
      <c r="S135" s="481"/>
      <c r="T135" s="481"/>
      <c r="U135" s="481"/>
      <c r="V135" s="481"/>
      <c r="W135" s="481"/>
      <c r="X135" s="481"/>
      <c r="Y135" s="481"/>
      <c r="Z135" s="481"/>
      <c r="AA135" s="481"/>
      <c r="AB135" s="481"/>
      <c r="AC135" s="481"/>
      <c r="AD135" s="481"/>
      <c r="AE135" s="481"/>
      <c r="AF135" s="481"/>
      <c r="AG135" s="481"/>
      <c r="AH135" s="481"/>
      <c r="AI135" s="481"/>
      <c r="AJ135" s="481"/>
      <c r="AK135" s="481"/>
      <c r="AL135" s="481"/>
      <c r="AM135" s="481"/>
      <c r="AN135" s="481"/>
      <c r="AO135" s="481"/>
      <c r="AP135" s="481"/>
    </row>
    <row r="136" spans="1:42" s="125" customFormat="1" x14ac:dyDescent="0.25">
      <c r="A136" s="481"/>
      <c r="B136" s="484"/>
      <c r="C136" s="481"/>
      <c r="D136" s="481"/>
      <c r="E136" s="481"/>
      <c r="F136" s="481"/>
      <c r="G136" s="481"/>
      <c r="H136" s="481"/>
      <c r="I136" s="481"/>
      <c r="J136" s="481"/>
      <c r="K136" s="481"/>
      <c r="L136" s="481"/>
      <c r="M136" s="481"/>
      <c r="N136" s="481"/>
      <c r="O136" s="481"/>
      <c r="P136" s="481"/>
      <c r="Q136" s="481"/>
      <c r="R136" s="481"/>
      <c r="S136" s="481"/>
      <c r="T136" s="481"/>
      <c r="U136" s="481"/>
      <c r="V136" s="481"/>
      <c r="W136" s="481"/>
      <c r="X136" s="481"/>
      <c r="Y136" s="481"/>
      <c r="Z136" s="481"/>
      <c r="AA136" s="481"/>
      <c r="AB136" s="481"/>
      <c r="AC136" s="481"/>
      <c r="AD136" s="481"/>
      <c r="AE136" s="481"/>
      <c r="AF136" s="481"/>
      <c r="AG136" s="481"/>
      <c r="AH136" s="481"/>
      <c r="AI136" s="481"/>
      <c r="AJ136" s="481"/>
      <c r="AK136" s="481"/>
      <c r="AL136" s="481"/>
      <c r="AM136" s="481"/>
      <c r="AN136" s="481"/>
      <c r="AO136" s="481"/>
      <c r="AP136" s="481"/>
    </row>
    <row r="137" spans="1:42" s="125" customFormat="1" x14ac:dyDescent="0.25">
      <c r="A137" s="481"/>
      <c r="B137" s="484"/>
      <c r="C137" s="481"/>
      <c r="D137" s="481"/>
      <c r="E137" s="481"/>
      <c r="F137" s="481"/>
      <c r="G137" s="481"/>
      <c r="H137" s="481"/>
      <c r="I137" s="481"/>
      <c r="J137" s="481"/>
      <c r="K137" s="481"/>
      <c r="L137" s="481"/>
      <c r="M137" s="481"/>
      <c r="N137" s="481"/>
      <c r="O137" s="481"/>
      <c r="P137" s="481"/>
      <c r="Q137" s="481"/>
      <c r="R137" s="481"/>
      <c r="S137" s="481"/>
      <c r="T137" s="481"/>
      <c r="U137" s="481"/>
      <c r="V137" s="481"/>
      <c r="W137" s="481"/>
      <c r="X137" s="481"/>
      <c r="Y137" s="481"/>
      <c r="Z137" s="481"/>
      <c r="AA137" s="481"/>
      <c r="AB137" s="481"/>
      <c r="AC137" s="481"/>
      <c r="AD137" s="481"/>
      <c r="AE137" s="481"/>
      <c r="AF137" s="481"/>
      <c r="AG137" s="481"/>
      <c r="AH137" s="481"/>
      <c r="AI137" s="481"/>
      <c r="AJ137" s="481"/>
      <c r="AK137" s="481"/>
      <c r="AL137" s="481"/>
      <c r="AM137" s="481"/>
      <c r="AN137" s="481"/>
      <c r="AO137" s="481"/>
      <c r="AP137" s="481"/>
    </row>
    <row r="138" spans="1:42" s="125" customFormat="1" x14ac:dyDescent="0.25">
      <c r="A138" s="481"/>
      <c r="B138" s="484"/>
      <c r="C138" s="481"/>
      <c r="D138" s="481"/>
      <c r="E138" s="481"/>
      <c r="F138" s="481"/>
      <c r="G138" s="481"/>
      <c r="H138" s="481"/>
      <c r="I138" s="481"/>
      <c r="J138" s="481"/>
      <c r="K138" s="481"/>
      <c r="L138" s="481"/>
      <c r="M138" s="481"/>
      <c r="N138" s="481"/>
      <c r="O138" s="481"/>
      <c r="P138" s="481"/>
      <c r="Q138" s="481"/>
      <c r="R138" s="481"/>
      <c r="S138" s="481"/>
      <c r="T138" s="481"/>
      <c r="U138" s="481"/>
      <c r="V138" s="481"/>
      <c r="W138" s="481"/>
      <c r="X138" s="481"/>
      <c r="Y138" s="481"/>
      <c r="Z138" s="481"/>
      <c r="AA138" s="481"/>
      <c r="AB138" s="481"/>
      <c r="AC138" s="481"/>
      <c r="AD138" s="481"/>
      <c r="AE138" s="481"/>
      <c r="AF138" s="481"/>
      <c r="AG138" s="481"/>
      <c r="AH138" s="481"/>
      <c r="AI138" s="481"/>
      <c r="AJ138" s="481"/>
      <c r="AK138" s="481"/>
      <c r="AL138" s="481"/>
      <c r="AM138" s="481"/>
      <c r="AN138" s="481"/>
      <c r="AO138" s="481"/>
      <c r="AP138" s="481"/>
    </row>
    <row r="139" spans="1:42" s="125" customFormat="1" x14ac:dyDescent="0.25">
      <c r="A139" s="481"/>
      <c r="B139" s="484"/>
      <c r="C139" s="481"/>
      <c r="D139" s="481"/>
      <c r="E139" s="481"/>
      <c r="F139" s="481"/>
      <c r="G139" s="481"/>
      <c r="H139" s="481"/>
      <c r="I139" s="481"/>
      <c r="J139" s="481"/>
      <c r="K139" s="481"/>
      <c r="L139" s="481"/>
      <c r="M139" s="481"/>
      <c r="N139" s="481"/>
      <c r="O139" s="481"/>
      <c r="P139" s="481"/>
      <c r="Q139" s="481"/>
      <c r="R139" s="481"/>
      <c r="S139" s="481"/>
      <c r="T139" s="481"/>
      <c r="U139" s="481"/>
      <c r="V139" s="481"/>
      <c r="W139" s="481"/>
      <c r="X139" s="481"/>
      <c r="Y139" s="481"/>
      <c r="Z139" s="481"/>
      <c r="AA139" s="481"/>
      <c r="AB139" s="481"/>
      <c r="AC139" s="481"/>
      <c r="AD139" s="481"/>
      <c r="AE139" s="481"/>
      <c r="AF139" s="481"/>
      <c r="AG139" s="481"/>
      <c r="AH139" s="481"/>
      <c r="AI139" s="481"/>
      <c r="AJ139" s="481"/>
      <c r="AK139" s="481"/>
      <c r="AL139" s="481"/>
      <c r="AM139" s="481"/>
      <c r="AN139" s="481"/>
      <c r="AO139" s="481"/>
      <c r="AP139" s="481"/>
    </row>
    <row r="140" spans="1:42" s="125" customFormat="1" x14ac:dyDescent="0.25">
      <c r="A140" s="481"/>
      <c r="B140" s="484"/>
      <c r="C140" s="481"/>
      <c r="D140" s="481"/>
      <c r="E140" s="481"/>
      <c r="F140" s="481"/>
      <c r="G140" s="481"/>
      <c r="H140" s="481"/>
      <c r="I140" s="481"/>
      <c r="J140" s="481"/>
      <c r="K140" s="481"/>
      <c r="L140" s="481"/>
      <c r="M140" s="481"/>
      <c r="N140" s="481"/>
      <c r="O140" s="481"/>
      <c r="P140" s="481"/>
      <c r="Q140" s="481"/>
      <c r="R140" s="481"/>
      <c r="S140" s="481"/>
      <c r="T140" s="481"/>
      <c r="U140" s="481"/>
      <c r="V140" s="481"/>
      <c r="W140" s="481"/>
      <c r="X140" s="481"/>
      <c r="Y140" s="481"/>
      <c r="Z140" s="481"/>
      <c r="AA140" s="481"/>
      <c r="AB140" s="481"/>
      <c r="AC140" s="481"/>
      <c r="AD140" s="481"/>
      <c r="AE140" s="481"/>
      <c r="AF140" s="481"/>
      <c r="AG140" s="481"/>
      <c r="AH140" s="481"/>
      <c r="AI140" s="481"/>
      <c r="AJ140" s="481"/>
      <c r="AK140" s="481"/>
      <c r="AL140" s="481"/>
      <c r="AM140" s="481"/>
      <c r="AN140" s="481"/>
      <c r="AO140" s="481"/>
      <c r="AP140" s="481"/>
    </row>
    <row r="141" spans="1:42" s="125" customFormat="1" x14ac:dyDescent="0.25">
      <c r="A141" s="481"/>
      <c r="B141" s="484"/>
      <c r="C141" s="481"/>
      <c r="D141" s="481"/>
      <c r="E141" s="481"/>
      <c r="F141" s="481"/>
      <c r="G141" s="481"/>
      <c r="H141" s="481"/>
      <c r="I141" s="481"/>
      <c r="J141" s="481"/>
      <c r="K141" s="481"/>
      <c r="L141" s="481"/>
      <c r="M141" s="481"/>
      <c r="N141" s="481"/>
      <c r="O141" s="481"/>
      <c r="P141" s="481"/>
      <c r="Q141" s="481"/>
      <c r="R141" s="481"/>
      <c r="S141" s="481"/>
      <c r="T141" s="481"/>
      <c r="U141" s="481"/>
      <c r="V141" s="481"/>
      <c r="W141" s="481"/>
      <c r="X141" s="481"/>
      <c r="Y141" s="481"/>
      <c r="Z141" s="481"/>
      <c r="AA141" s="481"/>
      <c r="AB141" s="481"/>
      <c r="AC141" s="481"/>
      <c r="AD141" s="481"/>
      <c r="AE141" s="481"/>
      <c r="AF141" s="481"/>
      <c r="AG141" s="481"/>
      <c r="AH141" s="481"/>
      <c r="AI141" s="481"/>
      <c r="AJ141" s="481"/>
      <c r="AK141" s="481"/>
      <c r="AL141" s="481"/>
      <c r="AM141" s="481"/>
      <c r="AN141" s="481"/>
      <c r="AO141" s="481"/>
      <c r="AP141" s="481"/>
    </row>
    <row r="142" spans="1:42" s="125" customFormat="1" x14ac:dyDescent="0.25">
      <c r="A142" s="481"/>
      <c r="B142" s="484"/>
      <c r="C142" s="481"/>
      <c r="D142" s="481"/>
      <c r="E142" s="481"/>
      <c r="F142" s="481"/>
      <c r="G142" s="481"/>
      <c r="H142" s="481"/>
      <c r="I142" s="481"/>
      <c r="J142" s="481"/>
      <c r="K142" s="481"/>
      <c r="L142" s="481"/>
      <c r="M142" s="481"/>
      <c r="N142" s="481"/>
      <c r="O142" s="481"/>
      <c r="P142" s="481"/>
      <c r="Q142" s="481"/>
      <c r="R142" s="481"/>
      <c r="S142" s="481"/>
      <c r="T142" s="481"/>
      <c r="U142" s="481"/>
      <c r="V142" s="481"/>
      <c r="W142" s="481"/>
      <c r="X142" s="481"/>
      <c r="Y142" s="481"/>
      <c r="Z142" s="481"/>
      <c r="AA142" s="481"/>
      <c r="AB142" s="481"/>
      <c r="AC142" s="481"/>
      <c r="AD142" s="481"/>
      <c r="AE142" s="481"/>
      <c r="AF142" s="481"/>
      <c r="AG142" s="481"/>
      <c r="AH142" s="481"/>
      <c r="AI142" s="481"/>
      <c r="AJ142" s="481"/>
      <c r="AK142" s="481"/>
      <c r="AL142" s="481"/>
      <c r="AM142" s="481"/>
      <c r="AN142" s="481"/>
      <c r="AO142" s="481"/>
      <c r="AP142" s="481"/>
    </row>
    <row r="143" spans="1:42" s="125" customFormat="1" x14ac:dyDescent="0.25">
      <c r="A143" s="481"/>
      <c r="B143" s="484"/>
      <c r="C143" s="481"/>
      <c r="D143" s="481"/>
      <c r="E143" s="481"/>
      <c r="F143" s="481"/>
      <c r="G143" s="481"/>
      <c r="H143" s="481"/>
      <c r="I143" s="481"/>
      <c r="J143" s="481"/>
      <c r="K143" s="481"/>
      <c r="L143" s="481"/>
      <c r="M143" s="481"/>
      <c r="N143" s="481"/>
      <c r="O143" s="481"/>
      <c r="P143" s="481"/>
      <c r="Q143" s="481"/>
      <c r="R143" s="481"/>
      <c r="S143" s="481"/>
      <c r="T143" s="481"/>
      <c r="U143" s="481"/>
      <c r="V143" s="481"/>
      <c r="W143" s="481"/>
      <c r="X143" s="481"/>
      <c r="Y143" s="481"/>
      <c r="Z143" s="481"/>
      <c r="AA143" s="481"/>
      <c r="AB143" s="481"/>
      <c r="AC143" s="481"/>
      <c r="AD143" s="481"/>
      <c r="AE143" s="481"/>
      <c r="AF143" s="481"/>
      <c r="AG143" s="481"/>
      <c r="AH143" s="481"/>
      <c r="AI143" s="481"/>
      <c r="AJ143" s="481"/>
      <c r="AK143" s="481"/>
      <c r="AL143" s="481"/>
      <c r="AM143" s="481"/>
      <c r="AN143" s="481"/>
      <c r="AO143" s="481"/>
      <c r="AP143" s="481"/>
    </row>
    <row r="144" spans="1:42" s="125" customFormat="1" x14ac:dyDescent="0.25">
      <c r="A144" s="481"/>
      <c r="B144" s="484"/>
      <c r="C144" s="481"/>
      <c r="D144" s="481"/>
      <c r="E144" s="481"/>
      <c r="F144" s="481"/>
      <c r="G144" s="481"/>
      <c r="H144" s="481"/>
      <c r="I144" s="481"/>
      <c r="J144" s="481"/>
      <c r="K144" s="481"/>
      <c r="L144" s="481"/>
      <c r="M144" s="481"/>
      <c r="N144" s="481"/>
      <c r="O144" s="481"/>
      <c r="P144" s="481"/>
      <c r="Q144" s="481"/>
      <c r="R144" s="481"/>
      <c r="S144" s="481"/>
      <c r="T144" s="481"/>
      <c r="U144" s="481"/>
      <c r="V144" s="481"/>
      <c r="W144" s="481"/>
      <c r="X144" s="481"/>
      <c r="Y144" s="481"/>
      <c r="Z144" s="481"/>
      <c r="AA144" s="481"/>
      <c r="AB144" s="481"/>
      <c r="AC144" s="481"/>
      <c r="AD144" s="481"/>
      <c r="AE144" s="481"/>
      <c r="AF144" s="481"/>
      <c r="AG144" s="481"/>
      <c r="AH144" s="481"/>
      <c r="AI144" s="481"/>
      <c r="AJ144" s="481"/>
      <c r="AK144" s="481"/>
      <c r="AL144" s="481"/>
      <c r="AM144" s="481"/>
      <c r="AN144" s="481"/>
      <c r="AO144" s="481"/>
      <c r="AP144" s="481"/>
    </row>
    <row r="145" spans="1:42" s="125" customFormat="1" x14ac:dyDescent="0.25">
      <c r="A145" s="481"/>
      <c r="B145" s="484"/>
      <c r="C145" s="481"/>
      <c r="D145" s="481"/>
      <c r="E145" s="481"/>
      <c r="F145" s="481"/>
      <c r="G145" s="481"/>
      <c r="H145" s="481"/>
      <c r="I145" s="481"/>
      <c r="J145" s="481"/>
      <c r="K145" s="481"/>
      <c r="L145" s="481"/>
      <c r="M145" s="481"/>
      <c r="N145" s="481"/>
      <c r="O145" s="481"/>
      <c r="P145" s="481"/>
      <c r="Q145" s="481"/>
      <c r="R145" s="481"/>
      <c r="S145" s="481"/>
      <c r="T145" s="481"/>
      <c r="U145" s="481"/>
      <c r="V145" s="481"/>
      <c r="W145" s="481"/>
      <c r="X145" s="481"/>
      <c r="Y145" s="481"/>
      <c r="Z145" s="481"/>
      <c r="AA145" s="481"/>
      <c r="AB145" s="481"/>
      <c r="AC145" s="481"/>
      <c r="AD145" s="481"/>
      <c r="AE145" s="481"/>
      <c r="AF145" s="481"/>
      <c r="AG145" s="481"/>
      <c r="AH145" s="481"/>
      <c r="AI145" s="481"/>
      <c r="AJ145" s="481"/>
      <c r="AK145" s="481"/>
      <c r="AL145" s="481"/>
      <c r="AM145" s="481"/>
      <c r="AN145" s="481"/>
      <c r="AO145" s="481"/>
      <c r="AP145" s="481"/>
    </row>
    <row r="146" spans="1:42" s="125" customFormat="1" x14ac:dyDescent="0.25">
      <c r="A146" s="481"/>
      <c r="B146" s="484"/>
      <c r="C146" s="481"/>
      <c r="D146" s="481"/>
      <c r="E146" s="481"/>
      <c r="F146" s="481"/>
      <c r="G146" s="481"/>
      <c r="H146" s="481"/>
      <c r="I146" s="481"/>
      <c r="J146" s="481"/>
      <c r="K146" s="481"/>
      <c r="L146" s="481"/>
      <c r="M146" s="481"/>
      <c r="N146" s="481"/>
      <c r="O146" s="481"/>
      <c r="P146" s="481"/>
      <c r="Q146" s="481"/>
      <c r="R146" s="481"/>
      <c r="S146" s="481"/>
      <c r="T146" s="481"/>
      <c r="U146" s="481"/>
      <c r="V146" s="481"/>
      <c r="W146" s="481"/>
      <c r="X146" s="481"/>
      <c r="Y146" s="481"/>
      <c r="Z146" s="481"/>
      <c r="AA146" s="481"/>
      <c r="AB146" s="481"/>
      <c r="AC146" s="481"/>
      <c r="AD146" s="481"/>
      <c r="AE146" s="481"/>
      <c r="AF146" s="481"/>
      <c r="AG146" s="481"/>
      <c r="AH146" s="481"/>
      <c r="AI146" s="481"/>
      <c r="AJ146" s="481"/>
      <c r="AK146" s="481"/>
      <c r="AL146" s="481"/>
      <c r="AM146" s="481"/>
      <c r="AN146" s="481"/>
      <c r="AO146" s="481"/>
      <c r="AP146" s="481"/>
    </row>
    <row r="147" spans="1:42" s="125" customFormat="1" x14ac:dyDescent="0.25">
      <c r="A147" s="481"/>
      <c r="B147" s="484"/>
      <c r="C147" s="481"/>
      <c r="D147" s="481"/>
      <c r="E147" s="481"/>
      <c r="F147" s="481"/>
      <c r="G147" s="481"/>
      <c r="H147" s="481"/>
      <c r="I147" s="481"/>
      <c r="J147" s="481"/>
      <c r="K147" s="481"/>
      <c r="L147" s="481"/>
      <c r="M147" s="481"/>
      <c r="N147" s="481"/>
      <c r="O147" s="481"/>
      <c r="P147" s="481"/>
      <c r="Q147" s="481"/>
      <c r="R147" s="481"/>
      <c r="S147" s="481"/>
      <c r="T147" s="481"/>
      <c r="U147" s="481"/>
      <c r="V147" s="481"/>
      <c r="W147" s="481"/>
      <c r="X147" s="481"/>
      <c r="Y147" s="481"/>
      <c r="Z147" s="481"/>
      <c r="AA147" s="481"/>
      <c r="AB147" s="481"/>
      <c r="AC147" s="481"/>
      <c r="AD147" s="481"/>
      <c r="AE147" s="481"/>
      <c r="AF147" s="481"/>
      <c r="AG147" s="481"/>
      <c r="AH147" s="481"/>
      <c r="AI147" s="481"/>
      <c r="AJ147" s="481"/>
      <c r="AK147" s="481"/>
      <c r="AL147" s="481"/>
      <c r="AM147" s="481"/>
      <c r="AN147" s="481"/>
      <c r="AO147" s="481"/>
      <c r="AP147" s="481"/>
    </row>
    <row r="148" spans="1:42" s="125" customFormat="1" x14ac:dyDescent="0.25">
      <c r="A148" s="481"/>
      <c r="B148" s="484"/>
      <c r="C148" s="481"/>
      <c r="D148" s="481"/>
      <c r="E148" s="481"/>
      <c r="F148" s="481"/>
      <c r="G148" s="481"/>
      <c r="H148" s="481"/>
      <c r="I148" s="481"/>
      <c r="J148" s="481"/>
      <c r="K148" s="481"/>
      <c r="L148" s="481"/>
      <c r="M148" s="481"/>
      <c r="N148" s="481"/>
      <c r="O148" s="481"/>
      <c r="P148" s="481"/>
      <c r="Q148" s="481"/>
      <c r="R148" s="481"/>
      <c r="S148" s="481"/>
      <c r="T148" s="481"/>
      <c r="U148" s="481"/>
      <c r="V148" s="481"/>
      <c r="W148" s="481"/>
      <c r="X148" s="481"/>
      <c r="Y148" s="481"/>
      <c r="Z148" s="481"/>
      <c r="AA148" s="481"/>
      <c r="AB148" s="481"/>
      <c r="AC148" s="481"/>
      <c r="AD148" s="481"/>
      <c r="AE148" s="481"/>
      <c r="AF148" s="481"/>
      <c r="AG148" s="481"/>
      <c r="AH148" s="481"/>
      <c r="AI148" s="481"/>
      <c r="AJ148" s="481"/>
      <c r="AK148" s="481"/>
      <c r="AL148" s="481"/>
      <c r="AM148" s="481"/>
      <c r="AN148" s="481"/>
      <c r="AO148" s="481"/>
      <c r="AP148" s="481"/>
    </row>
    <row r="149" spans="1:42" s="125" customFormat="1" x14ac:dyDescent="0.25">
      <c r="A149" s="481"/>
      <c r="B149" s="484"/>
      <c r="C149" s="481"/>
      <c r="D149" s="481"/>
      <c r="E149" s="481"/>
      <c r="F149" s="481"/>
      <c r="G149" s="481"/>
      <c r="H149" s="481"/>
      <c r="I149" s="481"/>
      <c r="J149" s="481"/>
      <c r="K149" s="481"/>
      <c r="L149" s="481"/>
      <c r="M149" s="481"/>
      <c r="N149" s="481"/>
      <c r="O149" s="481"/>
      <c r="P149" s="481"/>
      <c r="Q149" s="481"/>
      <c r="R149" s="481"/>
      <c r="S149" s="481"/>
      <c r="T149" s="481"/>
      <c r="U149" s="481"/>
      <c r="V149" s="481"/>
      <c r="W149" s="481"/>
      <c r="X149" s="481"/>
      <c r="Y149" s="481"/>
      <c r="Z149" s="481"/>
      <c r="AA149" s="481"/>
      <c r="AB149" s="481"/>
      <c r="AC149" s="481"/>
      <c r="AD149" s="481"/>
      <c r="AE149" s="481"/>
      <c r="AF149" s="481"/>
      <c r="AG149" s="481"/>
      <c r="AH149" s="481"/>
      <c r="AI149" s="481"/>
      <c r="AJ149" s="481"/>
      <c r="AK149" s="481"/>
      <c r="AL149" s="481"/>
      <c r="AM149" s="481"/>
      <c r="AN149" s="481"/>
      <c r="AO149" s="481"/>
      <c r="AP149" s="481"/>
    </row>
    <row r="150" spans="1:42" s="125" customFormat="1" x14ac:dyDescent="0.25">
      <c r="A150" s="481"/>
      <c r="B150" s="484"/>
      <c r="C150" s="481"/>
      <c r="D150" s="481"/>
      <c r="E150" s="481"/>
      <c r="F150" s="481"/>
      <c r="G150" s="481"/>
      <c r="H150" s="481"/>
      <c r="I150" s="481"/>
      <c r="J150" s="481"/>
      <c r="K150" s="481"/>
      <c r="L150" s="481"/>
      <c r="M150" s="481"/>
      <c r="N150" s="481"/>
      <c r="O150" s="481"/>
      <c r="P150" s="481"/>
      <c r="Q150" s="481"/>
      <c r="R150" s="481"/>
      <c r="S150" s="481"/>
      <c r="T150" s="481"/>
      <c r="U150" s="481"/>
      <c r="V150" s="481"/>
      <c r="W150" s="481"/>
      <c r="X150" s="481"/>
      <c r="Y150" s="481"/>
      <c r="Z150" s="481"/>
      <c r="AA150" s="481"/>
      <c r="AB150" s="481"/>
      <c r="AC150" s="481"/>
      <c r="AD150" s="481"/>
      <c r="AE150" s="481"/>
      <c r="AF150" s="481"/>
      <c r="AG150" s="481"/>
      <c r="AH150" s="481"/>
      <c r="AI150" s="481"/>
      <c r="AJ150" s="481"/>
      <c r="AK150" s="481"/>
      <c r="AL150" s="481"/>
      <c r="AM150" s="481"/>
      <c r="AN150" s="481"/>
      <c r="AO150" s="481"/>
      <c r="AP150" s="481"/>
    </row>
    <row r="151" spans="1:42" s="125" customFormat="1" x14ac:dyDescent="0.25">
      <c r="A151" s="481"/>
      <c r="B151" s="484"/>
      <c r="C151" s="481"/>
      <c r="D151" s="481"/>
      <c r="E151" s="481"/>
      <c r="F151" s="481"/>
      <c r="G151" s="481"/>
      <c r="H151" s="481"/>
      <c r="I151" s="481"/>
      <c r="J151" s="481"/>
      <c r="K151" s="481"/>
      <c r="L151" s="481"/>
      <c r="M151" s="481"/>
      <c r="N151" s="481"/>
      <c r="O151" s="481"/>
      <c r="P151" s="481"/>
      <c r="Q151" s="481"/>
      <c r="R151" s="481"/>
      <c r="S151" s="481"/>
      <c r="T151" s="481"/>
      <c r="U151" s="481"/>
      <c r="V151" s="481"/>
      <c r="W151" s="481"/>
      <c r="X151" s="481"/>
      <c r="Y151" s="481"/>
      <c r="Z151" s="481"/>
      <c r="AA151" s="481"/>
      <c r="AB151" s="481"/>
      <c r="AC151" s="481"/>
      <c r="AD151" s="481"/>
      <c r="AE151" s="481"/>
      <c r="AF151" s="481"/>
      <c r="AG151" s="481"/>
      <c r="AH151" s="481"/>
      <c r="AI151" s="481"/>
      <c r="AJ151" s="481"/>
      <c r="AK151" s="481"/>
      <c r="AL151" s="481"/>
      <c r="AM151" s="481"/>
      <c r="AN151" s="481"/>
      <c r="AO151" s="481"/>
      <c r="AP151" s="481"/>
    </row>
    <row r="152" spans="1:42" x14ac:dyDescent="0.3">
      <c r="A152" s="481"/>
      <c r="B152" s="484"/>
      <c r="C152" s="481"/>
      <c r="D152" s="481"/>
      <c r="E152" s="481"/>
      <c r="F152" s="481"/>
      <c r="G152" s="481"/>
      <c r="H152" s="481"/>
      <c r="I152" s="481"/>
      <c r="J152" s="481"/>
      <c r="K152" s="481"/>
      <c r="L152" s="481"/>
    </row>
    <row r="153" spans="1:42" x14ac:dyDescent="0.3">
      <c r="A153" s="481"/>
      <c r="B153" s="484"/>
      <c r="C153" s="481"/>
      <c r="D153" s="481"/>
      <c r="E153" s="481"/>
      <c r="F153" s="481"/>
      <c r="G153" s="481"/>
      <c r="H153" s="481"/>
      <c r="I153" s="481"/>
      <c r="J153" s="481"/>
      <c r="K153" s="481"/>
      <c r="L153" s="481"/>
    </row>
    <row r="154" spans="1:42" x14ac:dyDescent="0.3">
      <c r="A154" s="481"/>
      <c r="B154" s="484"/>
      <c r="C154" s="481"/>
      <c r="D154" s="481"/>
      <c r="E154" s="481"/>
      <c r="F154" s="481"/>
      <c r="G154" s="481"/>
      <c r="H154" s="481"/>
      <c r="I154" s="481"/>
      <c r="J154" s="481"/>
      <c r="K154" s="481"/>
      <c r="L154" s="481"/>
    </row>
    <row r="155" spans="1:42" x14ac:dyDescent="0.3">
      <c r="A155" s="481"/>
      <c r="B155" s="484"/>
      <c r="C155" s="481"/>
      <c r="D155" s="481"/>
      <c r="E155" s="481"/>
      <c r="F155" s="481"/>
      <c r="G155" s="481"/>
      <c r="H155" s="481"/>
      <c r="I155" s="481"/>
      <c r="J155" s="481"/>
      <c r="K155" s="481"/>
      <c r="L155" s="481"/>
    </row>
    <row r="156" spans="1:42" x14ac:dyDescent="0.3">
      <c r="A156" s="481"/>
      <c r="B156" s="484"/>
      <c r="C156" s="481"/>
      <c r="D156" s="481"/>
      <c r="E156" s="481"/>
      <c r="F156" s="481"/>
      <c r="G156" s="481"/>
      <c r="H156" s="481"/>
      <c r="I156" s="481"/>
      <c r="J156" s="481"/>
      <c r="K156" s="481"/>
      <c r="L156" s="481"/>
    </row>
    <row r="157" spans="1:42" x14ac:dyDescent="0.3">
      <c r="A157" s="481"/>
      <c r="B157" s="484"/>
      <c r="C157" s="481"/>
      <c r="D157" s="481"/>
      <c r="E157" s="481"/>
      <c r="F157" s="481"/>
      <c r="G157" s="481"/>
      <c r="H157" s="481"/>
      <c r="I157" s="481"/>
      <c r="J157" s="481"/>
      <c r="K157" s="481"/>
      <c r="L157" s="481"/>
    </row>
    <row r="158" spans="1:42" x14ac:dyDescent="0.3">
      <c r="A158" s="481"/>
      <c r="B158" s="484"/>
      <c r="C158" s="481"/>
      <c r="D158" s="481"/>
      <c r="E158" s="481"/>
      <c r="F158" s="481"/>
      <c r="G158" s="481"/>
      <c r="H158" s="481"/>
      <c r="I158" s="481"/>
      <c r="J158" s="481"/>
      <c r="K158" s="481"/>
      <c r="L158" s="481"/>
    </row>
    <row r="159" spans="1:42" x14ac:dyDescent="0.3">
      <c r="A159" s="481"/>
      <c r="B159" s="484"/>
      <c r="C159" s="481"/>
      <c r="D159" s="481"/>
      <c r="E159" s="481"/>
      <c r="F159" s="481"/>
      <c r="G159" s="481"/>
      <c r="H159" s="481"/>
      <c r="I159" s="481"/>
      <c r="J159" s="481"/>
      <c r="K159" s="481"/>
      <c r="L159" s="481"/>
    </row>
    <row r="160" spans="1:42" x14ac:dyDescent="0.3">
      <c r="A160" s="481"/>
      <c r="B160" s="484"/>
      <c r="C160" s="481"/>
      <c r="D160" s="481"/>
      <c r="E160" s="481"/>
      <c r="F160" s="481"/>
      <c r="G160" s="481"/>
      <c r="H160" s="481"/>
      <c r="I160" s="481"/>
      <c r="J160" s="481"/>
      <c r="K160" s="481"/>
      <c r="L160" s="481"/>
    </row>
    <row r="161" spans="1:12" x14ac:dyDescent="0.3">
      <c r="A161" s="481"/>
      <c r="B161" s="484"/>
      <c r="C161" s="481"/>
      <c r="D161" s="481"/>
      <c r="E161" s="481"/>
      <c r="F161" s="481"/>
      <c r="G161" s="481"/>
      <c r="H161" s="481"/>
      <c r="I161" s="481"/>
      <c r="J161" s="481"/>
      <c r="K161" s="481"/>
      <c r="L161" s="481"/>
    </row>
    <row r="162" spans="1:12" x14ac:dyDescent="0.3">
      <c r="A162" s="481"/>
      <c r="B162" s="484"/>
      <c r="C162" s="481"/>
      <c r="D162" s="481"/>
      <c r="E162" s="481"/>
      <c r="F162" s="481"/>
      <c r="G162" s="481"/>
      <c r="H162" s="481"/>
      <c r="I162" s="481"/>
      <c r="J162" s="481"/>
      <c r="K162" s="481"/>
      <c r="L162" s="481"/>
    </row>
    <row r="163" spans="1:12" x14ac:dyDescent="0.3">
      <c r="A163" s="481"/>
      <c r="B163" s="484"/>
      <c r="C163" s="481"/>
      <c r="D163" s="481"/>
      <c r="E163" s="481"/>
      <c r="F163" s="481"/>
      <c r="G163" s="481"/>
      <c r="H163" s="481"/>
      <c r="I163" s="481"/>
      <c r="J163" s="481"/>
      <c r="K163" s="481"/>
      <c r="L163" s="481"/>
    </row>
    <row r="164" spans="1:12" x14ac:dyDescent="0.3">
      <c r="A164" s="481"/>
      <c r="B164" s="484"/>
      <c r="C164" s="481"/>
      <c r="D164" s="481"/>
      <c r="E164" s="481"/>
      <c r="F164" s="481"/>
      <c r="G164" s="481"/>
      <c r="H164" s="481"/>
      <c r="I164" s="481"/>
      <c r="J164" s="481"/>
      <c r="K164" s="481"/>
      <c r="L164" s="481"/>
    </row>
    <row r="165" spans="1:12" x14ac:dyDescent="0.3">
      <c r="A165" s="481"/>
      <c r="B165" s="484"/>
      <c r="C165" s="481"/>
      <c r="D165" s="481"/>
      <c r="E165" s="481"/>
      <c r="F165" s="481"/>
      <c r="G165" s="481"/>
      <c r="H165" s="481"/>
      <c r="I165" s="481"/>
      <c r="J165" s="481"/>
      <c r="K165" s="481"/>
      <c r="L165" s="481"/>
    </row>
    <row r="166" spans="1:12" x14ac:dyDescent="0.3">
      <c r="A166" s="481"/>
      <c r="B166" s="484"/>
      <c r="C166" s="481"/>
      <c r="D166" s="481"/>
      <c r="E166" s="481"/>
      <c r="F166" s="481"/>
      <c r="G166" s="481"/>
      <c r="H166" s="481"/>
      <c r="I166" s="481"/>
      <c r="J166" s="481"/>
      <c r="K166" s="481"/>
      <c r="L166" s="481"/>
    </row>
    <row r="167" spans="1:12" x14ac:dyDescent="0.3">
      <c r="A167" s="481"/>
      <c r="B167" s="484"/>
      <c r="C167" s="481"/>
      <c r="D167" s="481"/>
      <c r="E167" s="481"/>
      <c r="F167" s="481"/>
      <c r="G167" s="481"/>
      <c r="H167" s="481"/>
      <c r="I167" s="481"/>
      <c r="J167" s="481"/>
      <c r="K167" s="481"/>
      <c r="L167" s="481"/>
    </row>
    <row r="168" spans="1:12" x14ac:dyDescent="0.3">
      <c r="A168" s="481"/>
      <c r="B168" s="484"/>
      <c r="C168" s="481"/>
      <c r="D168" s="481"/>
      <c r="E168" s="481"/>
      <c r="F168" s="481"/>
      <c r="G168" s="481"/>
      <c r="H168" s="481"/>
      <c r="I168" s="481"/>
      <c r="J168" s="481"/>
      <c r="K168" s="481"/>
      <c r="L168" s="481"/>
    </row>
    <row r="169" spans="1:12" x14ac:dyDescent="0.3">
      <c r="A169" s="481"/>
      <c r="B169" s="484"/>
      <c r="C169" s="481"/>
      <c r="D169" s="481"/>
      <c r="E169" s="481"/>
      <c r="F169" s="481"/>
      <c r="G169" s="481"/>
      <c r="H169" s="481"/>
      <c r="I169" s="481"/>
      <c r="J169" s="481"/>
      <c r="K169" s="481"/>
      <c r="L169" s="481"/>
    </row>
    <row r="170" spans="1:12" x14ac:dyDescent="0.3">
      <c r="A170" s="481"/>
      <c r="B170" s="484"/>
      <c r="C170" s="481"/>
      <c r="D170" s="481"/>
      <c r="E170" s="481"/>
      <c r="F170" s="481"/>
      <c r="G170" s="481"/>
      <c r="H170" s="481"/>
      <c r="I170" s="481"/>
      <c r="J170" s="481"/>
      <c r="K170" s="481"/>
      <c r="L170" s="481"/>
    </row>
    <row r="171" spans="1:12" x14ac:dyDescent="0.3">
      <c r="A171" s="481"/>
      <c r="B171" s="484"/>
      <c r="C171" s="481"/>
      <c r="D171" s="481"/>
      <c r="E171" s="481"/>
      <c r="F171" s="481"/>
      <c r="G171" s="481"/>
      <c r="H171" s="481"/>
      <c r="I171" s="481"/>
      <c r="J171" s="481"/>
      <c r="K171" s="481"/>
      <c r="L171" s="481"/>
    </row>
    <row r="172" spans="1:12" x14ac:dyDescent="0.3">
      <c r="A172" s="481"/>
      <c r="B172" s="484"/>
      <c r="C172" s="481"/>
      <c r="D172" s="481"/>
      <c r="E172" s="481"/>
      <c r="F172" s="481"/>
      <c r="G172" s="481"/>
      <c r="H172" s="481"/>
      <c r="I172" s="481"/>
      <c r="J172" s="481"/>
      <c r="K172" s="481"/>
      <c r="L172" s="481"/>
    </row>
    <row r="173" spans="1:12" x14ac:dyDescent="0.3">
      <c r="A173" s="481"/>
      <c r="B173" s="484"/>
      <c r="C173" s="481"/>
      <c r="D173" s="481"/>
      <c r="E173" s="481"/>
      <c r="F173" s="481"/>
      <c r="G173" s="481"/>
      <c r="H173" s="481"/>
      <c r="I173" s="481"/>
      <c r="J173" s="481"/>
      <c r="K173" s="481"/>
      <c r="L173" s="481"/>
    </row>
    <row r="174" spans="1:12" x14ac:dyDescent="0.3">
      <c r="A174" s="481"/>
      <c r="B174" s="484"/>
      <c r="C174" s="481"/>
      <c r="D174" s="481"/>
      <c r="E174" s="481"/>
      <c r="F174" s="481"/>
      <c r="G174" s="481"/>
      <c r="H174" s="481"/>
      <c r="I174" s="481"/>
      <c r="J174" s="481"/>
      <c r="K174" s="481"/>
      <c r="L174" s="481"/>
    </row>
    <row r="175" spans="1:12" x14ac:dyDescent="0.3">
      <c r="A175" s="481"/>
      <c r="B175" s="484"/>
      <c r="C175" s="481"/>
      <c r="D175" s="481"/>
      <c r="E175" s="481"/>
      <c r="F175" s="481"/>
      <c r="G175" s="481"/>
      <c r="H175" s="481"/>
      <c r="I175" s="481"/>
      <c r="J175" s="481"/>
      <c r="K175" s="481"/>
      <c r="L175" s="481"/>
    </row>
    <row r="176" spans="1:12" x14ac:dyDescent="0.3">
      <c r="A176" s="481"/>
      <c r="B176" s="484"/>
      <c r="C176" s="481"/>
      <c r="D176" s="481"/>
      <c r="E176" s="481"/>
      <c r="F176" s="481"/>
      <c r="G176" s="481"/>
      <c r="H176" s="481"/>
      <c r="I176" s="481"/>
      <c r="J176" s="481"/>
      <c r="K176" s="481"/>
      <c r="L176" s="481"/>
    </row>
    <row r="177" spans="1:12" x14ac:dyDescent="0.3">
      <c r="A177" s="481"/>
      <c r="B177" s="484"/>
      <c r="C177" s="481"/>
      <c r="D177" s="481"/>
      <c r="E177" s="481"/>
      <c r="F177" s="481"/>
      <c r="G177" s="481"/>
      <c r="H177" s="481"/>
      <c r="I177" s="481"/>
      <c r="J177" s="481"/>
      <c r="K177" s="481"/>
      <c r="L177" s="481"/>
    </row>
    <row r="178" spans="1:12" x14ac:dyDescent="0.3">
      <c r="A178" s="481"/>
      <c r="B178" s="484"/>
      <c r="C178" s="481"/>
      <c r="D178" s="481"/>
      <c r="E178" s="481"/>
      <c r="F178" s="481"/>
      <c r="G178" s="481"/>
      <c r="H178" s="481"/>
      <c r="I178" s="481"/>
      <c r="J178" s="481"/>
      <c r="K178" s="481"/>
      <c r="L178" s="481"/>
    </row>
    <row r="179" spans="1:12" x14ac:dyDescent="0.3">
      <c r="A179" s="481"/>
      <c r="B179" s="484"/>
      <c r="C179" s="481"/>
      <c r="D179" s="481"/>
      <c r="E179" s="481"/>
      <c r="F179" s="481"/>
      <c r="G179" s="481"/>
      <c r="H179" s="481"/>
      <c r="I179" s="481"/>
      <c r="J179" s="481"/>
      <c r="K179" s="481"/>
      <c r="L179" s="481"/>
    </row>
    <row r="180" spans="1:12" x14ac:dyDescent="0.3">
      <c r="A180" s="481"/>
      <c r="B180" s="484"/>
      <c r="C180" s="481"/>
      <c r="D180" s="481"/>
      <c r="E180" s="481"/>
      <c r="F180" s="481"/>
      <c r="G180" s="481"/>
      <c r="H180" s="481"/>
      <c r="I180" s="481"/>
      <c r="J180" s="481"/>
      <c r="K180" s="481"/>
      <c r="L180" s="481"/>
    </row>
    <row r="181" spans="1:12" x14ac:dyDescent="0.3">
      <c r="A181" s="481"/>
      <c r="B181" s="484"/>
      <c r="C181" s="481"/>
      <c r="D181" s="481"/>
      <c r="E181" s="481"/>
      <c r="F181" s="481"/>
      <c r="G181" s="481"/>
      <c r="H181" s="481"/>
      <c r="I181" s="481"/>
      <c r="J181" s="481"/>
      <c r="K181" s="481"/>
      <c r="L181" s="481"/>
    </row>
    <row r="182" spans="1:12" x14ac:dyDescent="0.3">
      <c r="A182" s="481"/>
      <c r="B182" s="484"/>
      <c r="C182" s="481"/>
      <c r="D182" s="481"/>
      <c r="E182" s="481"/>
      <c r="F182" s="481"/>
      <c r="G182" s="481"/>
      <c r="H182" s="481"/>
      <c r="I182" s="481"/>
      <c r="J182" s="481"/>
      <c r="K182" s="481"/>
      <c r="L182" s="481"/>
    </row>
    <row r="183" spans="1:12" x14ac:dyDescent="0.3">
      <c r="A183" s="481"/>
      <c r="B183" s="484"/>
      <c r="C183" s="481"/>
      <c r="D183" s="481"/>
      <c r="E183" s="481"/>
      <c r="F183" s="481"/>
      <c r="G183" s="481"/>
      <c r="H183" s="481"/>
      <c r="I183" s="481"/>
      <c r="J183" s="481"/>
      <c r="K183" s="481"/>
      <c r="L183" s="481"/>
    </row>
    <row r="184" spans="1:12" x14ac:dyDescent="0.3">
      <c r="A184" s="481"/>
      <c r="B184" s="484"/>
      <c r="C184" s="481"/>
      <c r="D184" s="481"/>
      <c r="E184" s="481"/>
      <c r="F184" s="481"/>
      <c r="G184" s="481"/>
      <c r="H184" s="481"/>
      <c r="I184" s="481"/>
      <c r="J184" s="481"/>
      <c r="K184" s="481"/>
      <c r="L184" s="481"/>
    </row>
    <row r="185" spans="1:12" x14ac:dyDescent="0.3">
      <c r="A185" s="481"/>
      <c r="B185" s="484"/>
      <c r="C185" s="481"/>
      <c r="D185" s="481"/>
      <c r="E185" s="481"/>
      <c r="F185" s="481"/>
      <c r="G185" s="481"/>
      <c r="H185" s="481"/>
      <c r="I185" s="481"/>
      <c r="J185" s="481"/>
      <c r="K185" s="481"/>
      <c r="L185" s="481"/>
    </row>
    <row r="186" spans="1:12" x14ac:dyDescent="0.3">
      <c r="A186" s="481"/>
      <c r="B186" s="484"/>
      <c r="C186" s="481"/>
      <c r="D186" s="481"/>
      <c r="E186" s="481"/>
      <c r="F186" s="481"/>
      <c r="G186" s="481"/>
      <c r="H186" s="481"/>
      <c r="I186" s="481"/>
      <c r="J186" s="481"/>
      <c r="K186" s="481"/>
      <c r="L186" s="481"/>
    </row>
    <row r="187" spans="1:12" x14ac:dyDescent="0.3">
      <c r="A187" s="481"/>
      <c r="B187" s="484"/>
      <c r="C187" s="481"/>
      <c r="D187" s="481"/>
      <c r="E187" s="481"/>
      <c r="F187" s="481"/>
      <c r="G187" s="481"/>
      <c r="H187" s="481"/>
      <c r="I187" s="481"/>
      <c r="J187" s="481"/>
      <c r="K187" s="481"/>
      <c r="L187" s="481"/>
    </row>
    <row r="188" spans="1:12" x14ac:dyDescent="0.3">
      <c r="A188" s="481"/>
      <c r="B188" s="484"/>
      <c r="C188" s="481"/>
      <c r="D188" s="481"/>
      <c r="E188" s="481"/>
      <c r="F188" s="481"/>
      <c r="G188" s="481"/>
      <c r="H188" s="481"/>
      <c r="I188" s="481"/>
      <c r="J188" s="481"/>
      <c r="K188" s="481"/>
      <c r="L188" s="481"/>
    </row>
    <row r="189" spans="1:12" x14ac:dyDescent="0.3">
      <c r="A189" s="481"/>
      <c r="B189" s="484"/>
      <c r="C189" s="481"/>
      <c r="D189" s="481"/>
      <c r="E189" s="481"/>
      <c r="F189" s="481"/>
      <c r="G189" s="481"/>
      <c r="H189" s="481"/>
      <c r="I189" s="481"/>
      <c r="J189" s="481"/>
      <c r="K189" s="481"/>
      <c r="L189" s="481"/>
    </row>
    <row r="190" spans="1:12" x14ac:dyDescent="0.3">
      <c r="A190" s="481"/>
      <c r="B190" s="484"/>
      <c r="C190" s="481"/>
      <c r="D190" s="481"/>
      <c r="E190" s="481"/>
      <c r="F190" s="481"/>
      <c r="G190" s="481"/>
      <c r="H190" s="481"/>
      <c r="I190" s="481"/>
      <c r="J190" s="481"/>
      <c r="K190" s="481"/>
      <c r="L190" s="481"/>
    </row>
    <row r="191" spans="1:12" x14ac:dyDescent="0.3">
      <c r="A191" s="481"/>
      <c r="B191" s="484"/>
      <c r="C191" s="481"/>
      <c r="D191" s="481"/>
      <c r="E191" s="481"/>
      <c r="F191" s="481"/>
      <c r="G191" s="481"/>
      <c r="H191" s="481"/>
      <c r="I191" s="481"/>
      <c r="J191" s="481"/>
      <c r="K191" s="481"/>
      <c r="L191" s="481"/>
    </row>
    <row r="192" spans="1:12" x14ac:dyDescent="0.3">
      <c r="A192" s="481"/>
      <c r="B192" s="484"/>
      <c r="C192" s="481"/>
      <c r="D192" s="481"/>
      <c r="E192" s="481"/>
      <c r="F192" s="481"/>
      <c r="G192" s="481"/>
      <c r="H192" s="481"/>
      <c r="I192" s="481"/>
      <c r="J192" s="481"/>
      <c r="K192" s="481"/>
      <c r="L192" s="481"/>
    </row>
    <row r="193" spans="1:12" x14ac:dyDescent="0.3">
      <c r="A193" s="481"/>
      <c r="B193" s="484"/>
      <c r="C193" s="481"/>
      <c r="D193" s="481"/>
      <c r="E193" s="481"/>
      <c r="F193" s="481"/>
      <c r="G193" s="481"/>
      <c r="H193" s="481"/>
      <c r="I193" s="481"/>
      <c r="J193" s="481"/>
      <c r="K193" s="481"/>
      <c r="L193" s="481"/>
    </row>
    <row r="194" spans="1:12" x14ac:dyDescent="0.3">
      <c r="A194" s="481"/>
      <c r="B194" s="484"/>
      <c r="C194" s="481"/>
      <c r="D194" s="481"/>
      <c r="E194" s="481"/>
      <c r="F194" s="481"/>
      <c r="G194" s="481"/>
      <c r="H194" s="481"/>
      <c r="I194" s="481"/>
      <c r="J194" s="481"/>
      <c r="K194" s="481"/>
      <c r="L194" s="481"/>
    </row>
    <row r="195" spans="1:12" x14ac:dyDescent="0.3">
      <c r="A195" s="481"/>
      <c r="B195" s="484"/>
      <c r="C195" s="481"/>
      <c r="D195" s="481"/>
      <c r="E195" s="481"/>
      <c r="F195" s="481"/>
      <c r="G195" s="481"/>
      <c r="H195" s="481"/>
      <c r="I195" s="481"/>
      <c r="J195" s="481"/>
      <c r="K195" s="481"/>
      <c r="L195" s="481"/>
    </row>
    <row r="196" spans="1:12" x14ac:dyDescent="0.3">
      <c r="A196" s="481"/>
      <c r="B196" s="484"/>
      <c r="C196" s="481"/>
      <c r="D196" s="481"/>
      <c r="E196" s="481"/>
      <c r="F196" s="481"/>
      <c r="G196" s="481"/>
      <c r="H196" s="481"/>
      <c r="I196" s="481"/>
      <c r="J196" s="481"/>
      <c r="K196" s="481"/>
      <c r="L196" s="481"/>
    </row>
    <row r="197" spans="1:12" x14ac:dyDescent="0.3">
      <c r="A197" s="481"/>
      <c r="B197" s="484"/>
      <c r="C197" s="481"/>
      <c r="D197" s="481"/>
      <c r="E197" s="481"/>
      <c r="F197" s="481"/>
      <c r="G197" s="481"/>
      <c r="H197" s="481"/>
      <c r="I197" s="481"/>
      <c r="J197" s="481"/>
      <c r="K197" s="481"/>
      <c r="L197" s="481"/>
    </row>
    <row r="198" spans="1:12" x14ac:dyDescent="0.3">
      <c r="A198" s="481"/>
      <c r="B198" s="484"/>
      <c r="C198" s="481"/>
      <c r="D198" s="481"/>
      <c r="E198" s="481"/>
      <c r="F198" s="481"/>
      <c r="G198" s="481"/>
      <c r="H198" s="481"/>
      <c r="I198" s="481"/>
      <c r="J198" s="481"/>
      <c r="K198" s="481"/>
      <c r="L198" s="481"/>
    </row>
    <row r="199" spans="1:12" x14ac:dyDescent="0.3">
      <c r="A199" s="481"/>
      <c r="B199" s="484"/>
      <c r="C199" s="481"/>
      <c r="D199" s="481"/>
      <c r="E199" s="481"/>
      <c r="F199" s="481"/>
      <c r="G199" s="481"/>
      <c r="H199" s="481"/>
      <c r="I199" s="481"/>
      <c r="J199" s="481"/>
      <c r="K199" s="481"/>
      <c r="L199" s="481"/>
    </row>
    <row r="200" spans="1:12" x14ac:dyDescent="0.3">
      <c r="A200" s="481"/>
      <c r="B200" s="484"/>
      <c r="C200" s="481"/>
      <c r="D200" s="481"/>
      <c r="E200" s="481"/>
      <c r="F200" s="481"/>
      <c r="G200" s="481"/>
      <c r="H200" s="481"/>
      <c r="I200" s="481"/>
      <c r="J200" s="481"/>
      <c r="K200" s="481"/>
      <c r="L200" s="481"/>
    </row>
    <row r="201" spans="1:12" x14ac:dyDescent="0.3">
      <c r="A201" s="481"/>
      <c r="B201" s="484"/>
      <c r="C201" s="481"/>
      <c r="D201" s="481"/>
      <c r="E201" s="481"/>
      <c r="F201" s="481"/>
      <c r="G201" s="481"/>
      <c r="H201" s="481"/>
      <c r="I201" s="481"/>
      <c r="J201" s="481"/>
      <c r="K201" s="481"/>
      <c r="L201" s="481"/>
    </row>
    <row r="202" spans="1:12" x14ac:dyDescent="0.3">
      <c r="A202" s="481"/>
      <c r="B202" s="484"/>
      <c r="C202" s="481"/>
      <c r="D202" s="481"/>
      <c r="E202" s="481"/>
      <c r="F202" s="481"/>
      <c r="G202" s="481"/>
      <c r="H202" s="481"/>
      <c r="I202" s="481"/>
      <c r="J202" s="481"/>
      <c r="K202" s="481"/>
      <c r="L202" s="481"/>
    </row>
    <row r="203" spans="1:12" x14ac:dyDescent="0.3">
      <c r="A203" s="481"/>
      <c r="B203" s="484"/>
      <c r="C203" s="481"/>
      <c r="D203" s="481"/>
      <c r="E203" s="481"/>
      <c r="F203" s="481"/>
      <c r="G203" s="481"/>
      <c r="H203" s="481"/>
      <c r="I203" s="481"/>
      <c r="J203" s="481"/>
      <c r="K203" s="481"/>
      <c r="L203" s="481"/>
    </row>
    <row r="204" spans="1:12" x14ac:dyDescent="0.3">
      <c r="A204" s="481"/>
      <c r="B204" s="484"/>
      <c r="C204" s="481"/>
      <c r="D204" s="481"/>
      <c r="E204" s="481"/>
      <c r="F204" s="481"/>
      <c r="G204" s="481"/>
      <c r="H204" s="481"/>
      <c r="I204" s="481"/>
      <c r="J204" s="481"/>
      <c r="K204" s="481"/>
      <c r="L204" s="481"/>
    </row>
    <row r="205" spans="1:12" x14ac:dyDescent="0.3">
      <c r="A205" s="481"/>
      <c r="B205" s="484"/>
      <c r="C205" s="481"/>
      <c r="D205" s="481"/>
      <c r="E205" s="481"/>
      <c r="F205" s="481"/>
      <c r="G205" s="481"/>
      <c r="H205" s="481"/>
      <c r="I205" s="481"/>
      <c r="J205" s="481"/>
      <c r="K205" s="481"/>
      <c r="L205" s="481"/>
    </row>
    <row r="206" spans="1:12" x14ac:dyDescent="0.3">
      <c r="A206" s="481"/>
      <c r="B206" s="484"/>
      <c r="C206" s="481"/>
      <c r="D206" s="481"/>
      <c r="E206" s="481"/>
      <c r="F206" s="481"/>
      <c r="G206" s="481"/>
      <c r="H206" s="481"/>
      <c r="I206" s="481"/>
      <c r="J206" s="481"/>
      <c r="K206" s="481"/>
      <c r="L206" s="481"/>
    </row>
    <row r="207" spans="1:12" x14ac:dyDescent="0.3">
      <c r="A207" s="481"/>
      <c r="B207" s="484"/>
      <c r="C207" s="481"/>
      <c r="D207" s="481"/>
      <c r="E207" s="481"/>
      <c r="F207" s="481"/>
      <c r="G207" s="481"/>
      <c r="H207" s="481"/>
      <c r="I207" s="481"/>
      <c r="J207" s="481"/>
      <c r="K207" s="481"/>
      <c r="L207" s="481"/>
    </row>
    <row r="208" spans="1:12" x14ac:dyDescent="0.3">
      <c r="A208" s="481"/>
      <c r="B208" s="484"/>
      <c r="C208" s="481"/>
      <c r="D208" s="481"/>
      <c r="E208" s="481"/>
      <c r="F208" s="481"/>
      <c r="G208" s="481"/>
      <c r="H208" s="481"/>
      <c r="I208" s="481"/>
      <c r="J208" s="481"/>
      <c r="K208" s="481"/>
      <c r="L208" s="481"/>
    </row>
    <row r="209" spans="1:12" x14ac:dyDescent="0.3">
      <c r="A209" s="481"/>
      <c r="B209" s="484"/>
      <c r="C209" s="481"/>
      <c r="D209" s="481"/>
      <c r="E209" s="481"/>
      <c r="F209" s="481"/>
      <c r="G209" s="481"/>
      <c r="H209" s="481"/>
      <c r="I209" s="481"/>
      <c r="J209" s="481"/>
      <c r="K209" s="481"/>
      <c r="L209" s="481"/>
    </row>
    <row r="210" spans="1:12" x14ac:dyDescent="0.3">
      <c r="A210" s="481"/>
      <c r="B210" s="484"/>
      <c r="C210" s="481"/>
      <c r="D210" s="481"/>
      <c r="E210" s="481"/>
      <c r="F210" s="481"/>
      <c r="G210" s="481"/>
      <c r="H210" s="481"/>
      <c r="I210" s="481"/>
      <c r="J210" s="481"/>
      <c r="K210" s="481"/>
      <c r="L210" s="481"/>
    </row>
    <row r="211" spans="1:12" x14ac:dyDescent="0.3">
      <c r="A211" s="481"/>
      <c r="B211" s="484"/>
      <c r="C211" s="481"/>
      <c r="D211" s="481"/>
      <c r="E211" s="481"/>
      <c r="F211" s="481"/>
      <c r="G211" s="481"/>
      <c r="H211" s="481"/>
      <c r="I211" s="481"/>
      <c r="J211" s="481"/>
      <c r="K211" s="481"/>
      <c r="L211" s="481"/>
    </row>
    <row r="212" spans="1:12" x14ac:dyDescent="0.3">
      <c r="A212" s="481"/>
      <c r="B212" s="484"/>
      <c r="C212" s="481"/>
      <c r="D212" s="481"/>
      <c r="E212" s="481"/>
      <c r="F212" s="481"/>
      <c r="G212" s="481"/>
      <c r="H212" s="481"/>
      <c r="I212" s="481"/>
      <c r="J212" s="481"/>
      <c r="K212" s="481"/>
      <c r="L212" s="481"/>
    </row>
    <row r="213" spans="1:12" x14ac:dyDescent="0.3">
      <c r="A213" s="481"/>
      <c r="B213" s="484"/>
      <c r="C213" s="481"/>
      <c r="D213" s="481"/>
      <c r="E213" s="481"/>
      <c r="F213" s="481"/>
      <c r="G213" s="481"/>
      <c r="H213" s="481"/>
      <c r="I213" s="481"/>
      <c r="J213" s="481"/>
      <c r="K213" s="481"/>
      <c r="L213" s="481"/>
    </row>
    <row r="214" spans="1:12" x14ac:dyDescent="0.3">
      <c r="A214" s="481"/>
      <c r="B214" s="484"/>
      <c r="C214" s="481"/>
      <c r="D214" s="481"/>
      <c r="E214" s="481"/>
      <c r="F214" s="481"/>
      <c r="G214" s="481"/>
      <c r="H214" s="481"/>
      <c r="I214" s="481"/>
      <c r="J214" s="481"/>
      <c r="K214" s="481"/>
      <c r="L214" s="481"/>
    </row>
    <row r="215" spans="1:12" x14ac:dyDescent="0.3">
      <c r="A215" s="481"/>
      <c r="B215" s="484"/>
      <c r="C215" s="481"/>
      <c r="D215" s="481"/>
      <c r="E215" s="481"/>
      <c r="F215" s="481"/>
      <c r="G215" s="481"/>
      <c r="H215" s="481"/>
      <c r="I215" s="481"/>
      <c r="J215" s="481"/>
      <c r="K215" s="481"/>
      <c r="L215" s="481"/>
    </row>
    <row r="216" spans="1:12" x14ac:dyDescent="0.3">
      <c r="A216" s="481"/>
      <c r="B216" s="484"/>
      <c r="C216" s="481"/>
      <c r="D216" s="481"/>
      <c r="E216" s="481"/>
      <c r="F216" s="481"/>
      <c r="G216" s="481"/>
      <c r="H216" s="481"/>
      <c r="I216" s="481"/>
      <c r="J216" s="481"/>
      <c r="K216" s="481"/>
      <c r="L216" s="481"/>
    </row>
    <row r="217" spans="1:12" x14ac:dyDescent="0.3">
      <c r="A217" s="481"/>
      <c r="B217" s="484"/>
      <c r="C217" s="481"/>
      <c r="D217" s="481"/>
      <c r="E217" s="481"/>
      <c r="F217" s="481"/>
      <c r="G217" s="481"/>
      <c r="H217" s="481"/>
      <c r="I217" s="481"/>
      <c r="J217" s="481"/>
      <c r="K217" s="481"/>
      <c r="L217" s="481"/>
    </row>
  </sheetData>
  <sheetProtection algorithmName="SHA-512" hashValue="NXk0KbYp+xMNUg+kd1zHJ6sBow5j54FhCpxQqEblm1QeBL/PBa46ubbpkevksm8gq1RU29VdxAULtcwFvAX0gg==" saltValue="k4fHtRcm48gdJhlpBYzTVg==" spinCount="100000" sheet="1" objects="1" scenarios="1"/>
  <mergeCells count="24">
    <mergeCell ref="H29:I29"/>
    <mergeCell ref="H57:I57"/>
    <mergeCell ref="I9:J9"/>
    <mergeCell ref="B26:M27"/>
    <mergeCell ref="C80:E80"/>
    <mergeCell ref="F80:H80"/>
    <mergeCell ref="I80:K80"/>
    <mergeCell ref="A11:B11"/>
    <mergeCell ref="A79:C79"/>
    <mergeCell ref="E58:F58"/>
    <mergeCell ref="B39:D39"/>
    <mergeCell ref="A26:A27"/>
    <mergeCell ref="B23:D23"/>
    <mergeCell ref="I43:J43"/>
    <mergeCell ref="A15:B15"/>
    <mergeCell ref="A30:B30"/>
    <mergeCell ref="C8:D8"/>
    <mergeCell ref="I8:J8"/>
    <mergeCell ref="C1:K1"/>
    <mergeCell ref="B2:E2"/>
    <mergeCell ref="J2:K2"/>
    <mergeCell ref="G2:H2"/>
    <mergeCell ref="C7:D7"/>
    <mergeCell ref="C5:D5"/>
  </mergeCells>
  <phoneticPr fontId="56" type="noConversion"/>
  <conditionalFormatting sqref="D82 G82">
    <cfRule type="containsText" dxfId="7" priority="66" operator="containsText" text="Non">
      <formula>NOT(ISERROR(SEARCH("Non",D82)))</formula>
    </cfRule>
  </conditionalFormatting>
  <conditionalFormatting sqref="D83:D84 G83:G84 J83:J84">
    <cfRule type="containsText" dxfId="6" priority="65" operator="containsText" text="No">
      <formula>NOT(ISERROR(SEARCH("No",D83)))</formula>
    </cfRule>
  </conditionalFormatting>
  <conditionalFormatting sqref="E60:F63">
    <cfRule type="containsText" dxfId="5" priority="74" operator="containsText" text="Non">
      <formula>NOT(ISERROR(SEARCH("Non",E60)))</formula>
    </cfRule>
  </conditionalFormatting>
  <conditionalFormatting sqref="E65:F72">
    <cfRule type="containsText" dxfId="4" priority="10" operator="containsText" text="Non">
      <formula>NOT(ISERROR(SEARCH("Non",E65)))</formula>
    </cfRule>
  </conditionalFormatting>
  <conditionalFormatting sqref="E74:F77">
    <cfRule type="containsText" dxfId="3" priority="6" operator="containsText" text="Non">
      <formula>NOT(ISERROR(SEARCH("Non",E74)))</formula>
    </cfRule>
  </conditionalFormatting>
  <conditionalFormatting sqref="G86">
    <cfRule type="cellIs" dxfId="2" priority="64" operator="notEqual">
      <formula>""</formula>
    </cfRule>
  </conditionalFormatting>
  <conditionalFormatting sqref="H57">
    <cfRule type="containsText" dxfId="1" priority="1" operator="containsText" text="(4) The indicated Market Contribution exceeds the Maximal Market Contribution.">
      <formula>NOT(ISERROR(SEARCH("(4) The indicated Market Contribution exceeds the Maximal Market Contribution.",H57)))</formula>
    </cfRule>
  </conditionalFormatting>
  <conditionalFormatting sqref="H40:I40">
    <cfRule type="expression" dxfId="0" priority="76">
      <formula>$I$40&lt;&gt;""</formula>
    </cfRule>
  </conditionalFormatting>
  <dataValidations count="11">
    <dataValidation type="whole" allowBlank="1" showInputMessage="1" showErrorMessage="1" error="le montanmt doit être égale ou plus petit que le maximum permis (15% du budget ou 225 000)_x000a__x000a__x000a_" sqref="D25" xr:uid="{5F5B3FB6-C8EA-4FD2-B0AB-220866C24430}">
      <formula1>0</formula1>
      <formula2>C25</formula2>
    </dataValidation>
    <dataValidation type="decimal" allowBlank="1" showErrorMessage="1" errorTitle="Not a number" error="Enter the Envelope Contribution for this licence" sqref="E16:F21 G17:G21" xr:uid="{442C29A2-0C02-48EC-A46B-D24316651ABD}">
      <formula1>0</formula1>
      <formula2>999999999999999</formula2>
    </dataValidation>
    <dataValidation type="whole" allowBlank="1" showInputMessage="1" showErrorMessage="1" promptTitle="Nombre de mois" prompt="Saisir la période en mois. Les équations sont permises (ex. : =7*12)" sqref="K16:K21" xr:uid="{F91FF1EA-4FE7-406F-B1B7-B8AE10FDDFD8}">
      <formula1>1</formula1>
      <formula2>999</formula2>
    </dataValidation>
    <dataValidation type="date" allowBlank="1" showInputMessage="1" showErrorMessage="1" promptTitle="Date" prompt="ex. A-M-J" sqref="I16:I21" xr:uid="{AC64E963-407A-4F67-9226-17E0F065BD50}">
      <formula1>36526</formula1>
      <formula2>401749</formula2>
    </dataValidation>
    <dataValidation type="whole" allowBlank="1" showInputMessage="1" showErrorMessage="1" promptTitle="Nombre de mois" prompt="Saisir la période ajustée d'exclusivité en « nombre de mois »" sqref="P31:P36" xr:uid="{9C8CA6AD-A380-4342-A779-1506AA709686}">
      <formula1>1</formula1>
      <formula2>999</formula2>
    </dataValidation>
    <dataValidation type="whole" allowBlank="1" showInputMessage="1" showErrorMessage="1" errorTitle="Not a number" error="Enter the Envelope Contribution for this licence" sqref="E31:E37" xr:uid="{159B71F8-853C-464C-A770-FB1038F2C566}">
      <formula1>0</formula1>
      <formula2>999999999999999</formula2>
    </dataValidation>
    <dataValidation type="decimal" allowBlank="1" showInputMessage="1" showErrorMessage="1" errorTitle="Not a number" error="Enter the Envelope Contribution for this licence" sqref="H17" xr:uid="{03F0A27E-CAE4-4634-96F0-43BFE0B8A784}">
      <formula1>0</formula1>
      <formula2>999999999999999</formula2>
    </dataValidation>
    <dataValidation type="list" allowBlank="1" showInputMessage="1" showErrorMessage="1" sqref="E7" xr:uid="{F9125EBF-759E-4129-878E-F7629C771051}">
      <formula1>$K$70:$K$72</formula1>
    </dataValidation>
    <dataValidation type="list" allowBlank="1" showInputMessage="1" showErrorMessage="1" sqref="E8" xr:uid="{40C8B8D5-898B-48A1-84E4-44D285030788}">
      <formula1>$K$69:$K$71</formula1>
    </dataValidation>
    <dataValidation type="decimal" allowBlank="1" showInputMessage="1" showErrorMessage="1" errorTitle="Not a number" error="Enter the Envelope Contribution for this licence" prompt="SVP entrez les télédiffuseurs en premier, voir note (1) ci-dessus" sqref="G16:H16" xr:uid="{2456CEAB-C3A7-425C-9009-396B03F2BFE5}">
      <formula1>0</formula1>
      <formula2>999999999999999</formula2>
    </dataValidation>
    <dataValidation allowBlank="1" showInputMessage="1" showErrorMessage="1" promptTitle="Entité Int. (CMM)" prompt="Pour E&amp;J : les DDA + la CMM doivent être au moins 75% de l’exigence seuil. Voir aussi la note (3)." sqref="I40" xr:uid="{6E30DC54-643E-4441-A2EF-13345F57A142}"/>
  </dataValidations>
  <printOptions horizontalCentered="1"/>
  <pageMargins left="0.23622047244094491" right="0.23622047244094491" top="0.74803149606299213" bottom="0.74803149606299213" header="0.31496062992125984" footer="0.31496062992125984"/>
  <pageSetup scale="70" fitToHeight="3" orientation="landscape" r:id="rId1"/>
  <headerFooter alignWithMargins="0"/>
  <rowBreaks count="2" manualBreakCount="2">
    <brk id="28" max="10" man="1"/>
    <brk id="55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Drop Down 5">
              <controlPr locked="0" defaultSize="0" autoLine="0" autoPict="0">
                <anchor moveWithCells="1">
                  <from>
                    <xdr:col>2</xdr:col>
                    <xdr:colOff>22860</xdr:colOff>
                    <xdr:row>9</xdr:row>
                    <xdr:rowOff>152400</xdr:rowOff>
                  </from>
                  <to>
                    <xdr:col>5</xdr:col>
                    <xdr:colOff>594360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Drop Down 6">
              <controlPr locked="0" defaultSize="0" autoLine="0" autoPict="0">
                <anchor moveWithCells="1">
                  <from>
                    <xdr:col>0</xdr:col>
                    <xdr:colOff>525780</xdr:colOff>
                    <xdr:row>8</xdr:row>
                    <xdr:rowOff>30480</xdr:rowOff>
                  </from>
                  <to>
                    <xdr:col>3</xdr:col>
                    <xdr:colOff>1028700</xdr:colOff>
                    <xdr:row>8</xdr:row>
                    <xdr:rowOff>373380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  <_dlc_DocId xmlns="dc2e72fa-f2bf-4b7e-897e-98e66666beee">CMFREL-1750552771-3790</_dlc_DocId>
    <_dlc_DocIdUrl xmlns="dc2e72fa-f2bf-4b7e-897e-98e66666beee">
      <Url>https://telefilm.sharepoint.com/sites/TheRebrandGroup/_layouts/15/DocIdRedir.aspx?ID=CMFREL-1750552771-3790</Url>
      <Description>CMFREL-1750552771-3790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902a81e4beb8204702a681e31d88afae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f7c9ea5541fefa85a0060ae91239a4fa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5C3807-BA35-4B6B-BBAE-734FE68C8C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758206-B560-42EC-A4CC-D7E95417425A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dc2e72fa-f2bf-4b7e-897e-98e66666beee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995c7fa0-c7ce-4135-b1bb-e7af7b680b45"/>
  </ds:schemaRefs>
</ds:datastoreItem>
</file>

<file path=customXml/itemProps3.xml><?xml version="1.0" encoding="utf-8"?>
<ds:datastoreItem xmlns:ds="http://schemas.openxmlformats.org/officeDocument/2006/customXml" ds:itemID="{C45257D9-21A7-4579-AE3E-2027C57BC59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D09B89D-B9E3-4997-8CB6-61DA15EEA5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ENGLISH</vt:lpstr>
      <vt:lpstr>FRANÇAIS</vt:lpstr>
      <vt:lpstr>ENGLISH!Zone_d_impression</vt:lpstr>
      <vt:lpstr>FRANÇAIS!Zone_d_impression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2012-05-02T16:23:31Z</dcterms:created>
  <dcterms:modified xsi:type="dcterms:W3CDTF">2025-05-14T19:35:22Z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0x0101003F0F0EE28623B24B9641CB1035C1DF0B</vt:lpwstr>
  </property>
  <property fmtid="{D5CDD505-2E9C-101B-9397-08002B2CF9AE}" pid="3" name="_dlc_DocIdItemGuid">
    <vt:lpwstr>df2ddf3f-447f-4af4-9d8c-509e394e675e</vt:lpwstr>
  </property>
  <property fmtid="{D5CDD505-2E9C-101B-9397-08002B2CF9AE}" pid="4" name="MediaServiceImageTags">
    <vt:lpwstr/>
  </property>
</Properties>
</file>