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58" documentId="8_{6D4A1218-A956-4CFD-844A-CDFCBF06EAA8}" xr6:coauthVersionLast="47" xr6:coauthVersionMax="47" xr10:uidLastSave="{F734AABC-7E06-49C0-8026-184857DDC852}"/>
  <bookViews>
    <workbookView xWindow="28680" yWindow="735" windowWidth="29040" windowHeight="15720" xr2:uid="{00000000-000D-0000-FFFF-FFFF00000000}"/>
  </bookViews>
  <sheets>
    <sheet name="ENGLISH" sheetId="1" r:id="rId1"/>
    <sheet name="FRANÇAIS" sheetId="6" r:id="rId2"/>
  </sheets>
  <definedNames>
    <definedName name="_xlnm.Print_Area" localSheetId="0">ENGLISH!$A$1:$O$92</definedName>
    <definedName name="_xlnm.Print_Area" localSheetId="1">FRANÇAIS!$A$1:$O$82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6" l="1"/>
  <c r="I79" i="1"/>
  <c r="E15" i="6"/>
  <c r="E15" i="1"/>
  <c r="E16" i="1" s="1"/>
  <c r="V60" i="6"/>
  <c r="D60" i="6"/>
  <c r="B60" i="6"/>
  <c r="V58" i="6"/>
  <c r="D58" i="6"/>
  <c r="B58" i="6"/>
  <c r="V56" i="6"/>
  <c r="D56" i="6"/>
  <c r="B56" i="6"/>
  <c r="V54" i="6"/>
  <c r="D54" i="6"/>
  <c r="B54" i="6"/>
  <c r="V52" i="6"/>
  <c r="D52" i="6"/>
  <c r="B52" i="6"/>
  <c r="V50" i="6"/>
  <c r="F50" i="6"/>
  <c r="K50" i="6" s="1"/>
  <c r="D50" i="6"/>
  <c r="B50" i="6"/>
  <c r="X10" i="6"/>
  <c r="X29" i="6"/>
  <c r="W60" i="6" s="1"/>
  <c r="B61" i="6" s="1"/>
  <c r="X28" i="6"/>
  <c r="W58" i="6" s="1"/>
  <c r="B59" i="6" s="1"/>
  <c r="X27" i="6"/>
  <c r="W56" i="6" s="1"/>
  <c r="B57" i="6" s="1"/>
  <c r="X26" i="6"/>
  <c r="W54" i="6" s="1"/>
  <c r="B55" i="6" s="1"/>
  <c r="X25" i="6"/>
  <c r="X24" i="6"/>
  <c r="F79" i="6"/>
  <c r="G79" i="6" s="1"/>
  <c r="H79" i="6" s="1"/>
  <c r="D60" i="1"/>
  <c r="B60" i="1"/>
  <c r="D58" i="1"/>
  <c r="B58" i="1"/>
  <c r="D56" i="1"/>
  <c r="B56" i="1"/>
  <c r="D54" i="1"/>
  <c r="B54" i="1"/>
  <c r="D52" i="1"/>
  <c r="B52" i="1"/>
  <c r="K50" i="1"/>
  <c r="D50" i="1"/>
  <c r="B50" i="1"/>
  <c r="V60" i="1"/>
  <c r="V58" i="1"/>
  <c r="V56" i="1"/>
  <c r="V54" i="1"/>
  <c r="V52" i="1"/>
  <c r="V50" i="1"/>
  <c r="X29" i="1"/>
  <c r="X28" i="1"/>
  <c r="X27" i="1"/>
  <c r="X26" i="1"/>
  <c r="X25" i="1"/>
  <c r="X24" i="1"/>
  <c r="C23" i="1"/>
  <c r="D30" i="1"/>
  <c r="X10" i="1"/>
  <c r="F79" i="1"/>
  <c r="G79" i="1" s="1"/>
  <c r="F30" i="1"/>
  <c r="D23" i="1" l="1"/>
  <c r="W52" i="6"/>
  <c r="B53" i="6" s="1"/>
  <c r="D23" i="6"/>
  <c r="E16" i="6"/>
  <c r="C79" i="6"/>
  <c r="H60" i="1"/>
  <c r="W60" i="1"/>
  <c r="B61" i="1" s="1"/>
  <c r="H58" i="1"/>
  <c r="W58" i="1"/>
  <c r="B59" i="1" s="1"/>
  <c r="W56" i="1"/>
  <c r="B57" i="1" s="1"/>
  <c r="H56" i="1"/>
  <c r="W54" i="1"/>
  <c r="B55" i="1" s="1"/>
  <c r="W52" i="1"/>
  <c r="B53" i="1" s="1"/>
  <c r="H60" i="6"/>
  <c r="G43" i="6" s="1"/>
  <c r="H58" i="6"/>
  <c r="G42" i="6" s="1"/>
  <c r="H50" i="6"/>
  <c r="G38" i="6" s="1"/>
  <c r="W50" i="6"/>
  <c r="B51" i="6" s="1"/>
  <c r="W50" i="1"/>
  <c r="B51" i="1" s="1"/>
  <c r="H50" i="1"/>
  <c r="G38" i="1" s="1"/>
  <c r="C79" i="1"/>
  <c r="H38" i="1" l="1"/>
  <c r="J38" i="1" s="1"/>
  <c r="H43" i="1"/>
  <c r="G43" i="1"/>
  <c r="H42" i="1"/>
  <c r="G42" i="1"/>
  <c r="H41" i="1"/>
  <c r="G41" i="1"/>
  <c r="H43" i="6"/>
  <c r="H38" i="6"/>
  <c r="J38" i="6" s="1"/>
  <c r="H42" i="6"/>
  <c r="L38" i="1" l="1"/>
  <c r="K38" i="1"/>
  <c r="K38" i="6"/>
  <c r="L38" i="6"/>
  <c r="F30" i="6"/>
  <c r="H24" i="6"/>
  <c r="H25" i="6"/>
  <c r="H26" i="6"/>
  <c r="H27" i="6"/>
  <c r="H28" i="6"/>
  <c r="H29" i="6"/>
  <c r="K15" i="6"/>
  <c r="L15" i="6" s="1"/>
  <c r="K15" i="1"/>
  <c r="L15" i="1" s="1"/>
  <c r="D66" i="6" l="1"/>
  <c r="D66" i="1" l="1"/>
  <c r="C30" i="1" l="1"/>
  <c r="F80" i="6"/>
  <c r="G80" i="6" l="1"/>
  <c r="H80" i="6" s="1"/>
  <c r="E37" i="6"/>
  <c r="X16" i="1"/>
  <c r="J79" i="1" s="1"/>
  <c r="D79" i="1" s="1"/>
  <c r="C23" i="6" l="1"/>
  <c r="C30" i="6" s="1"/>
  <c r="X16" i="6" l="1"/>
  <c r="J79" i="6" s="1"/>
  <c r="H25" i="1"/>
  <c r="D79" i="6" l="1"/>
  <c r="K79" i="6"/>
  <c r="F10" i="6"/>
  <c r="A80" i="6"/>
  <c r="W43" i="6"/>
  <c r="B43" i="6"/>
  <c r="W42" i="6"/>
  <c r="B42" i="6"/>
  <c r="W41" i="6"/>
  <c r="B41" i="6"/>
  <c r="W40" i="6"/>
  <c r="B40" i="6"/>
  <c r="W39" i="6"/>
  <c r="B39" i="6"/>
  <c r="W38" i="6"/>
  <c r="B38" i="6"/>
  <c r="E30" i="6"/>
  <c r="D30" i="6"/>
  <c r="V38" i="6"/>
  <c r="K7" i="6"/>
  <c r="D67" i="6" s="1"/>
  <c r="E79" i="6" l="1"/>
  <c r="C36" i="6"/>
  <c r="K10" i="6"/>
  <c r="K14" i="6" s="1"/>
  <c r="L14" i="6" s="1"/>
  <c r="X40" i="6"/>
  <c r="F54" i="6" s="1"/>
  <c r="X41" i="6"/>
  <c r="X39" i="6"/>
  <c r="X42" i="6"/>
  <c r="F58" i="6" s="1"/>
  <c r="V42" i="6" s="1"/>
  <c r="X43" i="6"/>
  <c r="F60" i="6" s="1"/>
  <c r="V43" i="6" s="1"/>
  <c r="V40" i="6" l="1"/>
  <c r="H54" i="6"/>
  <c r="F56" i="6"/>
  <c r="F52" i="6"/>
  <c r="I80" i="6"/>
  <c r="C80" i="6" s="1"/>
  <c r="E44" i="6" s="1"/>
  <c r="E38" i="6" s="1"/>
  <c r="H40" i="6" l="1"/>
  <c r="G40" i="6"/>
  <c r="V41" i="6"/>
  <c r="H56" i="6"/>
  <c r="V39" i="6"/>
  <c r="H52" i="6"/>
  <c r="J80" i="6"/>
  <c r="K80" i="6" s="1"/>
  <c r="H41" i="6" l="1"/>
  <c r="G41" i="6"/>
  <c r="H39" i="6"/>
  <c r="G39" i="6"/>
  <c r="C37" i="6"/>
  <c r="D80" i="6"/>
  <c r="E80" i="6" s="1"/>
  <c r="H44" i="6" l="1"/>
  <c r="G44" i="6"/>
  <c r="C44" i="6"/>
  <c r="D37" i="6"/>
  <c r="F37" i="6" s="1"/>
  <c r="E43" i="6"/>
  <c r="E42" i="6"/>
  <c r="E41" i="6"/>
  <c r="E39" i="6"/>
  <c r="E40" i="6"/>
  <c r="G66" i="6" l="1"/>
  <c r="G67" i="6"/>
  <c r="D44" i="6"/>
  <c r="C39" i="6"/>
  <c r="D39" i="6" s="1"/>
  <c r="F39" i="6" s="1"/>
  <c r="C40" i="6"/>
  <c r="D40" i="6" s="1"/>
  <c r="F40" i="6" s="1"/>
  <c r="C41" i="6"/>
  <c r="D41" i="6" s="1"/>
  <c r="F41" i="6" s="1"/>
  <c r="C43" i="6"/>
  <c r="D43" i="6" s="1"/>
  <c r="F43" i="6" s="1"/>
  <c r="C42" i="6"/>
  <c r="D42" i="6" s="1"/>
  <c r="F42" i="6" s="1"/>
  <c r="C38" i="6"/>
  <c r="I44" i="6" l="1"/>
  <c r="D38" i="6"/>
  <c r="F38" i="6" s="1"/>
  <c r="F10" i="1"/>
  <c r="E30" i="1"/>
  <c r="C36" i="1" s="1"/>
  <c r="I39" i="6" l="1"/>
  <c r="J39" i="6" s="1"/>
  <c r="I41" i="6"/>
  <c r="J41" i="6" s="1"/>
  <c r="I43" i="6"/>
  <c r="J43" i="6" s="1"/>
  <c r="J44" i="6"/>
  <c r="I40" i="6"/>
  <c r="J40" i="6" s="1"/>
  <c r="E67" i="6"/>
  <c r="F67" i="6" s="1"/>
  <c r="E66" i="6"/>
  <c r="F66" i="6" s="1"/>
  <c r="I42" i="6"/>
  <c r="J42" i="6" s="1"/>
  <c r="F44" i="6"/>
  <c r="D67" i="1"/>
  <c r="L40" i="6" l="1"/>
  <c r="K40" i="6"/>
  <c r="L42" i="6"/>
  <c r="K42" i="6"/>
  <c r="L39" i="6"/>
  <c r="K39" i="6"/>
  <c r="L41" i="6"/>
  <c r="K41" i="6"/>
  <c r="K43" i="6"/>
  <c r="L43" i="6"/>
  <c r="V38" i="1"/>
  <c r="L44" i="6" l="1"/>
  <c r="K44" i="6"/>
  <c r="F80" i="1"/>
  <c r="E37" i="1" l="1"/>
  <c r="G80" i="1"/>
  <c r="H80" i="1" s="1"/>
  <c r="I80" i="1" l="1"/>
  <c r="C80" i="1" s="1"/>
  <c r="E44" i="1" s="1"/>
  <c r="J80" i="1" l="1"/>
  <c r="K80" i="1" s="1"/>
  <c r="D80" i="1" l="1"/>
  <c r="W39" i="1"/>
  <c r="W40" i="1"/>
  <c r="W41" i="1"/>
  <c r="W42" i="1"/>
  <c r="W43" i="1"/>
  <c r="W38" i="1"/>
  <c r="C37" i="1" l="1"/>
  <c r="C44" i="1"/>
  <c r="K7" i="1" l="1"/>
  <c r="H24" i="1"/>
  <c r="H29" i="1"/>
  <c r="H28" i="1"/>
  <c r="H27" i="1"/>
  <c r="H26" i="1"/>
  <c r="X39" i="1"/>
  <c r="F52" i="1" s="1"/>
  <c r="H52" i="1" s="1"/>
  <c r="A80" i="1"/>
  <c r="X43" i="1"/>
  <c r="F60" i="1" s="1"/>
  <c r="X42" i="1"/>
  <c r="F58" i="1" s="1"/>
  <c r="X41" i="1"/>
  <c r="F56" i="1" s="1"/>
  <c r="X40" i="1"/>
  <c r="F54" i="1" s="1"/>
  <c r="H54" i="1" s="1"/>
  <c r="B43" i="1"/>
  <c r="B42" i="1"/>
  <c r="B41" i="1"/>
  <c r="B40" i="1"/>
  <c r="B39" i="1"/>
  <c r="B38" i="1"/>
  <c r="G39" i="1" l="1"/>
  <c r="H39" i="1"/>
  <c r="G40" i="1"/>
  <c r="H40" i="1"/>
  <c r="E39" i="1"/>
  <c r="E40" i="1"/>
  <c r="E41" i="1"/>
  <c r="E38" i="1"/>
  <c r="E42" i="1"/>
  <c r="E43" i="1"/>
  <c r="E80" i="1"/>
  <c r="H79" i="1"/>
  <c r="K79" i="1"/>
  <c r="K10" i="1"/>
  <c r="K14" i="1" s="1"/>
  <c r="L14" i="1" s="1"/>
  <c r="V42" i="1"/>
  <c r="V43" i="1"/>
  <c r="E79" i="1" l="1"/>
  <c r="G44" i="1"/>
  <c r="H44" i="1"/>
  <c r="V41" i="1"/>
  <c r="V40" i="1"/>
  <c r="V39" i="1"/>
  <c r="C38" i="1" l="1"/>
  <c r="D38" i="1" s="1"/>
  <c r="F38" i="1" s="1"/>
  <c r="C43" i="1"/>
  <c r="D43" i="1" s="1"/>
  <c r="F43" i="1" s="1"/>
  <c r="C39" i="1"/>
  <c r="D39" i="1" s="1"/>
  <c r="F39" i="1" s="1"/>
  <c r="C40" i="1"/>
  <c r="D40" i="1" s="1"/>
  <c r="F40" i="1" s="1"/>
  <c r="C41" i="1"/>
  <c r="D41" i="1" s="1"/>
  <c r="F41" i="1" s="1"/>
  <c r="C42" i="1"/>
  <c r="D42" i="1" s="1"/>
  <c r="F42" i="1" s="1"/>
  <c r="D37" i="1"/>
  <c r="F37" i="1" s="1"/>
  <c r="D44" i="1"/>
  <c r="F44" i="1" l="1"/>
  <c r="G66" i="1" l="1"/>
  <c r="G67" i="1"/>
  <c r="I44" i="1" l="1"/>
  <c r="E67" i="1" s="1"/>
  <c r="F67" i="1" s="1"/>
  <c r="E66" i="1" l="1"/>
  <c r="F66" i="1" s="1"/>
  <c r="J44" i="1"/>
  <c r="I43" i="1"/>
  <c r="J43" i="1" s="1"/>
  <c r="I41" i="1"/>
  <c r="J41" i="1" s="1"/>
  <c r="I39" i="1"/>
  <c r="J39" i="1" s="1"/>
  <c r="I42" i="1"/>
  <c r="J42" i="1" s="1"/>
  <c r="I40" i="1"/>
  <c r="J40" i="1" s="1"/>
  <c r="L43" i="1" l="1"/>
  <c r="K43" i="1"/>
  <c r="L41" i="1"/>
  <c r="K41" i="1"/>
  <c r="L39" i="1"/>
  <c r="K39" i="1"/>
  <c r="L42" i="1"/>
  <c r="K42" i="1"/>
  <c r="L40" i="1"/>
  <c r="K40" i="1"/>
  <c r="L44" i="1" l="1"/>
  <c r="K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7" authorId="0" shapeId="0" xr:uid="{5C895982-A196-417B-957C-B9FE75F2E853}">
      <text>
        <r>
          <rPr>
            <b/>
            <sz val="9"/>
            <color indexed="81"/>
            <rFont val="Tahoma"/>
            <family val="2"/>
          </rPr>
          <t xml:space="preserve">Must be Canadian eligible costs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" authorId="0" shapeId="0" xr:uid="{791628F8-FC6E-4DD7-9DCD-76FFE552AF12}">
      <text>
        <r>
          <rPr>
            <b/>
            <sz val="9"/>
            <color indexed="81"/>
            <rFont val="Tahoma"/>
            <family val="2"/>
          </rPr>
          <t xml:space="preserve">Knowledge Network, Télé-Québec, TFO and TVO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 xr:uid="{498D27B3-2D2A-4565-B62B-67B4695A9501}">
      <text>
        <r>
          <rPr>
            <b/>
            <sz val="9"/>
            <color indexed="81"/>
            <rFont val="Tahoma"/>
            <family val="2"/>
          </rPr>
          <t>BEP: Broadcaster Envelope Program
DEP: Distributor Envelope Program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7" authorId="0" shapeId="0" xr:uid="{9FB638B9-B024-4CF8-AD32-B96990744EAE}">
      <text>
        <r>
          <rPr>
            <b/>
            <sz val="9"/>
            <color indexed="81"/>
            <rFont val="Tahoma"/>
            <family val="2"/>
          </rPr>
          <t>Doit correspondre aux dépenses admissibles canadiennes</t>
        </r>
      </text>
    </comment>
    <comment ref="E10" authorId="0" shapeId="0" xr:uid="{18A65F05-8763-4DB0-BA19-ACE7839F0C9D}">
      <text>
        <r>
          <rPr>
            <b/>
            <sz val="9"/>
            <color indexed="81"/>
            <rFont val="Tahoma"/>
            <family val="2"/>
          </rPr>
          <t xml:space="preserve">Knowledge Network, Télé-Québec, TFO et TVO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<sst xmlns="http://schemas.openxmlformats.org/spreadsheetml/2006/main" count="297" uniqueCount="189">
  <si>
    <t>Project
Name:</t>
  </si>
  <si>
    <t>Project No:</t>
  </si>
  <si>
    <t>Date :</t>
  </si>
  <si>
    <t>Please complete all green cells</t>
  </si>
  <si>
    <t>Budget Category (Genre)</t>
  </si>
  <si>
    <t>Budget/Final Cost</t>
  </si>
  <si>
    <t>Number                   of Episodes</t>
  </si>
  <si>
    <t>Episode Length (in Min.)</t>
  </si>
  <si>
    <t>Total Hours</t>
  </si>
  <si>
    <t>Are all Broadcasters Educational?</t>
  </si>
  <si>
    <t>Yes</t>
  </si>
  <si>
    <t xml:space="preserve">Budget/Hour </t>
  </si>
  <si>
    <t>End of Term Date</t>
  </si>
  <si>
    <t>Term Length
(In Months)</t>
  </si>
  <si>
    <t>Language</t>
  </si>
  <si>
    <t># 1</t>
  </si>
  <si>
    <t># 2</t>
  </si>
  <si>
    <t># 3</t>
  </si>
  <si>
    <t># 4</t>
  </si>
  <si>
    <t># 5</t>
  </si>
  <si>
    <t># 6</t>
  </si>
  <si>
    <t>Total:</t>
  </si>
  <si>
    <t>Notes:</t>
  </si>
  <si>
    <t xml:space="preserve">Eligible CMF Contribution </t>
  </si>
  <si>
    <t>% CMF Contribution of Budget</t>
  </si>
  <si>
    <t>Adjusted Term Length</t>
  </si>
  <si>
    <t>Adjusted Exclusivity</t>
  </si>
  <si>
    <t>Revised Start Date of Term</t>
  </si>
  <si>
    <t>N/A</t>
  </si>
  <si>
    <t>÷</t>
  </si>
  <si>
    <t>x</t>
  </si>
  <si>
    <t>=</t>
  </si>
  <si>
    <t>Last Day of Maximum Term:</t>
  </si>
  <si>
    <t>Term Months</t>
  </si>
  <si>
    <t>Maximum Term</t>
  </si>
  <si>
    <t>Pro-Rated Amount</t>
  </si>
  <si>
    <t>Budget Category</t>
  </si>
  <si>
    <t>Formula</t>
  </si>
  <si>
    <t>Calculated          Amount</t>
  </si>
  <si>
    <t>Threshold Respected?</t>
  </si>
  <si>
    <t>Over                                   OR                     (Shortfall)</t>
  </si>
  <si>
    <t>Others POV Projects</t>
  </si>
  <si>
    <t>No</t>
  </si>
  <si>
    <t>Maximum CMF Contribution:</t>
  </si>
  <si>
    <t>CMF Contribution</t>
  </si>
  <si>
    <t>CMF                      Maximum</t>
  </si>
  <si>
    <t>Max. Contribution Respected?</t>
  </si>
  <si>
    <t>Over</t>
  </si>
  <si>
    <t xml:space="preserve">Selective                                     Maximum </t>
  </si>
  <si>
    <t xml:space="preserve">49% Eligible Costs (Max $400,000) Combined Programs 84% </t>
  </si>
  <si>
    <t>Titre du projet :</t>
  </si>
  <si>
    <t>No du projet :</t>
  </si>
  <si>
    <t>Complétez toutes les cellules vertes</t>
  </si>
  <si>
    <t>Catégorie de devis :</t>
  </si>
  <si>
    <t xml:space="preserve">Devis /Coût final de production </t>
  </si>
  <si>
    <t>Nombre d'épisodes</t>
  </si>
  <si>
    <t>Durée des épisodes  (en min.)</t>
  </si>
  <si>
    <t>Nombre total d'heures</t>
  </si>
  <si>
    <t>Oui</t>
  </si>
  <si>
    <t>Devis/Heure</t>
  </si>
  <si>
    <r>
      <t xml:space="preserve">Y a-t-il une mesure incitative </t>
    </r>
    <r>
      <rPr>
        <b/>
        <sz val="10"/>
        <rFont val="Calibri"/>
        <family val="2"/>
        <scheme val="minor"/>
      </rPr>
      <t>?</t>
    </r>
  </si>
  <si>
    <t>Calculateur de carbone requis ?</t>
  </si>
  <si>
    <t>Date de fin de la période</t>
  </si>
  <si>
    <t>Langue</t>
  </si>
  <si>
    <t>n° 1</t>
  </si>
  <si>
    <t>n° 2</t>
  </si>
  <si>
    <t>n° 3</t>
  </si>
  <si>
    <t>n° 4</t>
  </si>
  <si>
    <t>n° 5</t>
  </si>
  <si>
    <t>n° 6</t>
  </si>
  <si>
    <t>Totaux :</t>
  </si>
  <si>
    <t>Remarques :</t>
  </si>
  <si>
    <t>Contribution totale admissible du FMC</t>
  </si>
  <si>
    <t xml:space="preserve"> % Contribution du FMC sur le devis</t>
  </si>
  <si>
    <t>Dernier jour de la durée maximale</t>
  </si>
  <si>
    <t>Durée 
(en mois)</t>
  </si>
  <si>
    <t>Durée maximale</t>
  </si>
  <si>
    <t>Montant proportionnel</t>
  </si>
  <si>
    <t>Catégorie de devis</t>
  </si>
  <si>
    <t>Formule</t>
  </si>
  <si>
    <t>Calcul du montant</t>
  </si>
  <si>
    <t xml:space="preserve">Exigence seuil respectée ? </t>
  </si>
  <si>
    <t>Autres documentaires d'auteur</t>
  </si>
  <si>
    <t>Non</t>
  </si>
  <si>
    <t>Contributions maximales :</t>
  </si>
  <si>
    <t>Contribution maximale respectée ?</t>
  </si>
  <si>
    <t>Montant excédentaire</t>
  </si>
  <si>
    <t>Maximum du programme</t>
  </si>
  <si>
    <t xml:space="preserve">Maximum </t>
  </si>
  <si>
    <t>S/O</t>
  </si>
  <si>
    <t>Montant excédentaire     OU           (insuffisant)</t>
  </si>
  <si>
    <t>POV Contribution</t>
  </si>
  <si>
    <t>POV</t>
  </si>
  <si>
    <t>Date:</t>
  </si>
  <si>
    <t>Contribution du FMC</t>
  </si>
  <si>
    <t>Sélectif $</t>
  </si>
  <si>
    <t>Contribution du Programme documentaire d'auteur</t>
  </si>
  <si>
    <t>Longs métrages documentaires</t>
  </si>
  <si>
    <t>Moindre des 2 : 
10 % des coûts admissibles ou 
60 000 $ par projet</t>
  </si>
  <si>
    <t>Moindre des 2 : 
15 % des coûts admissibles ou 
60 000 $ par heure</t>
  </si>
  <si>
    <t>Exigence seuil pour les déclencheurs admissibles :</t>
  </si>
  <si>
    <t>49 % ou 
max. 400 000 $
(84 % si combiné avec autres programmes)</t>
  </si>
  <si>
    <t>Sous-total :</t>
  </si>
  <si>
    <t>Maximum</t>
  </si>
  <si>
    <t>Programme pour les documentaires d'auteur</t>
  </si>
  <si>
    <t>(2): If the project has both English and French licences, do not complete the "Exclusivity" column</t>
  </si>
  <si>
    <t>Feature-length documentary</t>
  </si>
  <si>
    <t>Lesser of 10% or $90,000 per project</t>
  </si>
  <si>
    <r>
      <t xml:space="preserve">Les diffuseurs sont-ils </t>
    </r>
    <r>
      <rPr>
        <b/>
        <u/>
        <sz val="9.5"/>
        <color rgb="FF000000"/>
        <rFont val="Calibri"/>
        <family val="2"/>
        <scheme val="minor"/>
      </rPr>
      <t>tous</t>
    </r>
    <r>
      <rPr>
        <b/>
        <sz val="9.5"/>
        <color indexed="8"/>
        <rFont val="Calibri"/>
        <family val="2"/>
        <scheme val="minor"/>
      </rPr>
      <t xml:space="preserve"> éducatifs ?</t>
    </r>
  </si>
  <si>
    <r>
      <t xml:space="preserve">Start of Term Date
</t>
    </r>
    <r>
      <rPr>
        <b/>
        <sz val="10"/>
        <color theme="3"/>
        <rFont val="Calibri"/>
        <family val="2"/>
        <scheme val="minor"/>
      </rPr>
      <t>(1)</t>
    </r>
  </si>
  <si>
    <r>
      <t xml:space="preserve">Date de début de la période
</t>
    </r>
    <r>
      <rPr>
        <b/>
        <sz val="10"/>
        <color rgb="FF1F497D"/>
        <rFont val="Calibri"/>
        <family val="2"/>
        <scheme val="minor"/>
      </rPr>
      <t>(1)</t>
    </r>
  </si>
  <si>
    <t>Durée de la période
(en mois)</t>
  </si>
  <si>
    <t>Described video required?</t>
  </si>
  <si>
    <t>Vidéodescription requise?</t>
  </si>
  <si>
    <t>Carbon calculator required?</t>
  </si>
  <si>
    <t>Surplus
Montants non déclencheurs</t>
  </si>
  <si>
    <r>
      <t xml:space="preserve">Exclusivité 
(en mois)
</t>
    </r>
    <r>
      <rPr>
        <b/>
        <sz val="10"/>
        <color rgb="FF1F497D"/>
        <rFont val="Calibri"/>
        <family val="2"/>
        <scheme val="minor"/>
      </rPr>
      <t>(2)</t>
    </r>
  </si>
  <si>
    <t>(2) : Lorsque le projet cumule des licences en français ET en anglais, ne pas compléter la colonne "Exclusivité"</t>
  </si>
  <si>
    <t>Montant admissible de la participation au capital</t>
  </si>
  <si>
    <t>Maximum  Investment</t>
  </si>
  <si>
    <r>
      <t>Nom du télédiffuseur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ou Distributeur canadien admissible
ou télédiffuseur étranger programmé</t>
    </r>
  </si>
  <si>
    <t>Télédiffuseur 
étranger/
programmé</t>
  </si>
  <si>
    <r>
      <t xml:space="preserve">Nom du télédiffuseur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ou Distributeur canadien admissible
ou télédiffuseur étranger/programmé</t>
    </r>
  </si>
  <si>
    <r>
      <t xml:space="preserve">Broadcaster </t>
    </r>
    <r>
      <rPr>
        <b/>
        <sz val="10"/>
        <color rgb="FF1F497D"/>
        <rFont val="Calibri"/>
        <family val="2"/>
        <scheme val="minor"/>
      </rPr>
      <t>(1)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foreign/scheduled broadcaster</t>
    </r>
  </si>
  <si>
    <r>
      <t>Broadcaster</t>
    </r>
    <r>
      <rPr>
        <b/>
        <sz val="10"/>
        <color rgb="FFFF0000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Or Eligible Canadian Distributor
Or Foreign/scheduled broadcaster</t>
    </r>
  </si>
  <si>
    <t>Foreign/scheduled broadcaster</t>
  </si>
  <si>
    <r>
      <t xml:space="preserve">Enter the </t>
    </r>
    <r>
      <rPr>
        <b/>
        <u/>
        <sz val="10"/>
        <color rgb="FF000000"/>
        <rFont val="Calibri"/>
        <family val="2"/>
        <scheme val="minor"/>
      </rPr>
      <t>English</t>
    </r>
    <r>
      <rPr>
        <b/>
        <sz val="10"/>
        <color rgb="FF000000"/>
        <rFont val="Calibri"/>
        <family val="2"/>
        <scheme val="minor"/>
      </rPr>
      <t xml:space="preserve"> Envelope Allocation from the BEP 
and/or the DEP</t>
    </r>
  </si>
  <si>
    <r>
      <t xml:space="preserve">Required Minimum </t>
    </r>
    <r>
      <rPr>
        <b/>
        <u/>
        <sz val="10"/>
        <color rgb="FF000000"/>
        <rFont val="Calibri"/>
        <family val="2"/>
        <scheme val="minor"/>
      </rPr>
      <t>English</t>
    </r>
    <r>
      <rPr>
        <b/>
        <sz val="10"/>
        <color rgb="FF000000"/>
        <rFont val="Calibri"/>
        <family val="2"/>
        <scheme val="minor"/>
      </rPr>
      <t xml:space="preserve"> Envelope Allocation Amount</t>
    </r>
  </si>
  <si>
    <r>
      <t>Surplus/(</t>
    </r>
    <r>
      <rPr>
        <b/>
        <sz val="10"/>
        <color rgb="FFFF0000"/>
        <rFont val="Calibri"/>
        <family val="2"/>
        <scheme val="minor"/>
      </rPr>
      <t>Insufficient</t>
    </r>
    <r>
      <rPr>
        <b/>
        <sz val="10"/>
        <color rgb="FF000000"/>
        <rFont val="Calibri"/>
        <family val="2"/>
        <scheme val="minor"/>
      </rPr>
      <t xml:space="preserve">) English Envelope Allocation amount </t>
    </r>
  </si>
  <si>
    <r>
      <t xml:space="preserve">CMF  Contribution  </t>
    </r>
    <r>
      <rPr>
        <b/>
        <sz val="10"/>
        <color rgb="FF1F497D"/>
        <rFont val="Calibri"/>
        <family val="2"/>
        <scheme val="minor"/>
      </rPr>
      <t>(BEP and DEP contribution)</t>
    </r>
  </si>
  <si>
    <r>
      <t>Is there an Incentive Program</t>
    </r>
    <r>
      <rPr>
        <b/>
        <sz val="8"/>
        <rFont val="Calibri"/>
        <family val="2"/>
        <scheme val="minor"/>
      </rPr>
      <t>?</t>
    </r>
  </si>
  <si>
    <r>
      <t xml:space="preserve">(1): Enter </t>
    </r>
    <r>
      <rPr>
        <b/>
        <i/>
        <u/>
        <sz val="10"/>
        <color rgb="FF1F497D"/>
        <rFont val="Calibri"/>
        <family val="2"/>
      </rPr>
      <t>first</t>
    </r>
    <r>
      <rPr>
        <b/>
        <i/>
        <sz val="10"/>
        <color rgb="FF1F497D"/>
        <rFont val="Calibri"/>
        <family val="2"/>
      </rPr>
      <t xml:space="preserve"> the Canadian Broadcaster's Eligible licence Fee AND the Eligible Distribution Advance for the </t>
    </r>
    <r>
      <rPr>
        <b/>
        <i/>
        <u/>
        <sz val="10"/>
        <color rgb="FF1F497D"/>
        <rFont val="Calibri"/>
        <family val="2"/>
      </rPr>
      <t>Canadian Exploitation Right</t>
    </r>
    <r>
      <rPr>
        <b/>
        <i/>
        <sz val="10"/>
        <color rgb="FF1F497D"/>
        <rFont val="Calibri"/>
        <family val="2"/>
      </rPr>
      <t xml:space="preserve"> from the </t>
    </r>
    <r>
      <rPr>
        <b/>
        <i/>
        <u/>
        <sz val="10"/>
        <color rgb="FF1F497D"/>
        <rFont val="Calibri"/>
        <family val="2"/>
      </rPr>
      <t>non-related</t>
    </r>
    <r>
      <rPr>
        <b/>
        <i/>
        <sz val="10"/>
        <color rgb="FF1F497D"/>
        <rFont val="Calibri"/>
        <family val="2"/>
      </rPr>
      <t xml:space="preserve"> Eligible Canadian Distributor </t>
    </r>
    <r>
      <rPr>
        <b/>
        <i/>
        <u/>
        <sz val="10"/>
        <color rgb="FF1F497D"/>
        <rFont val="Calibri"/>
        <family val="2"/>
      </rPr>
      <t xml:space="preserve">in order of start </t>
    </r>
    <r>
      <rPr>
        <b/>
        <i/>
        <sz val="10"/>
        <color rgb="FF1F497D"/>
        <rFont val="Calibri"/>
        <family val="2"/>
      </rPr>
      <t>of term dates</t>
    </r>
  </si>
  <si>
    <t>Is this application combined with the Envelope Allocation from the BEP and/or the DEP</t>
  </si>
  <si>
    <t>Broadcaster &amp; Distributor Envelope Programs</t>
  </si>
  <si>
    <r>
      <t xml:space="preserve">BEP and DEP </t>
    </r>
    <r>
      <rPr>
        <sz val="6"/>
        <rFont val="Calibri"/>
        <family val="2"/>
        <scheme val="minor"/>
      </rPr>
      <t>C</t>
    </r>
    <r>
      <rPr>
        <sz val="6"/>
        <color indexed="8"/>
        <rFont val="Calibri"/>
        <family val="2"/>
        <scheme val="minor"/>
      </rPr>
      <t>ontribution</t>
    </r>
  </si>
  <si>
    <r>
      <t xml:space="preserve">Canadian
Licence Fee </t>
    </r>
    <r>
      <rPr>
        <b/>
        <sz val="10"/>
        <color rgb="FF1F497D"/>
        <rFont val="Calibri"/>
        <family val="2"/>
        <scheme val="minor"/>
      </rPr>
      <t>(1)*</t>
    </r>
  </si>
  <si>
    <r>
      <t xml:space="preserve">Eligible Distribution Advance </t>
    </r>
    <r>
      <rPr>
        <b/>
        <sz val="10"/>
        <color theme="3"/>
        <rFont val="Calibri"/>
        <family val="2"/>
        <scheme val="minor"/>
      </rPr>
      <t xml:space="preserve"> (1)*</t>
    </r>
  </si>
  <si>
    <r>
      <t>Eligible Canadian Distributor ("ECD") Territory</t>
    </r>
    <r>
      <rPr>
        <b/>
        <sz val="10"/>
        <color rgb="FF1F497D"/>
        <rFont val="Calibri"/>
        <family val="2"/>
        <scheme val="minor"/>
      </rPr>
      <t xml:space="preserve">
(Choose from list)</t>
    </r>
  </si>
  <si>
    <r>
      <t xml:space="preserve">Is the ECD a related party to the Applicant?
</t>
    </r>
    <r>
      <rPr>
        <b/>
        <sz val="10"/>
        <color rgb="FF1F497D"/>
        <rFont val="Calibri"/>
        <family val="2"/>
        <scheme val="minor"/>
      </rPr>
      <t>(Choose from list)</t>
    </r>
  </si>
  <si>
    <t>MUST be completed for the distributor</t>
  </si>
  <si>
    <t>Canadian</t>
  </si>
  <si>
    <t>International</t>
  </si>
  <si>
    <t>Don't delete this row</t>
  </si>
  <si>
    <t>Only an Eligible (i) Licence Fee; (ii) Distribution Advance; OR (iii) Financial Contribution can be entered per row</t>
  </si>
  <si>
    <r>
      <t xml:space="preserve">Exclusivity
(in Months) </t>
    </r>
    <r>
      <rPr>
        <b/>
        <sz val="10"/>
        <color rgb="FF1F497D"/>
        <rFont val="Calibri"/>
        <family val="2"/>
        <scheme val="minor"/>
      </rPr>
      <t xml:space="preserve"> (2)</t>
    </r>
  </si>
  <si>
    <t>Broadcaster
(ELF)</t>
  </si>
  <si>
    <t>Distributor
(EDA)</t>
  </si>
  <si>
    <r>
      <t>Foreign/
scheduled broadcaster</t>
    </r>
    <r>
      <rPr>
        <b/>
        <sz val="10"/>
        <color rgb="FF1F497D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
(EFC) </t>
    </r>
    <r>
      <rPr>
        <b/>
        <sz val="10"/>
        <color rgb="FF1F497D"/>
        <rFont val="Calibri"/>
        <family val="2"/>
        <scheme val="minor"/>
      </rPr>
      <t>(2)</t>
    </r>
  </si>
  <si>
    <t>(2): Only the included allowable EFC will appear in the Foreign/scheduled broadcaster column (I)</t>
  </si>
  <si>
    <t>EDA+Can+Not related</t>
  </si>
  <si>
    <t>Formulas for B56/B59/B60 etc.</t>
  </si>
  <si>
    <t>Broadcaster and Distributor Maximum Term Calculation:</t>
  </si>
  <si>
    <t>Total Eligible Market Commitment</t>
  </si>
  <si>
    <t>% Total Eligible Market Commitment</t>
  </si>
  <si>
    <t>Surplus
No-trigger amounts</t>
  </si>
  <si>
    <t>Allowable</t>
  </si>
  <si>
    <t>Maximum Terms, Programs Contributions, Eligible Licence Fees (ELF), Eligible Distribution Advance (EDA) and Eligible Financial Contribution (EFC):</t>
  </si>
  <si>
    <t>Eligible Triggering Market Commitment Threshold:</t>
  </si>
  <si>
    <t>All Budget Categories</t>
  </si>
  <si>
    <t xml:space="preserve"> 49% of Eligible Costs (Max $400,000) 
Combined Programs 84% </t>
  </si>
  <si>
    <r>
      <t xml:space="preserve">Contribution FMC -
</t>
    </r>
    <r>
      <rPr>
        <b/>
        <sz val="8"/>
        <color rgb="FF1F497D"/>
        <rFont val="Calibri"/>
        <family val="2"/>
        <scheme val="minor"/>
      </rPr>
      <t>Env. des télédiffuseurs et des distributeurs</t>
    </r>
  </si>
  <si>
    <r>
      <t xml:space="preserve">Droits de diffusion admissibles </t>
    </r>
    <r>
      <rPr>
        <b/>
        <sz val="10"/>
        <color theme="3"/>
        <rFont val="Calibri"/>
        <family val="2"/>
        <scheme val="minor"/>
      </rPr>
      <t>(1)</t>
    </r>
    <r>
      <rPr>
        <b/>
        <sz val="10"/>
        <rFont val="Calibri"/>
        <family val="2"/>
        <scheme val="minor"/>
      </rPr>
      <t>*</t>
    </r>
  </si>
  <si>
    <r>
      <t>Avance de distribution admissible</t>
    </r>
    <r>
      <rPr>
        <b/>
        <sz val="10"/>
        <color theme="3"/>
        <rFont val="Calibri"/>
        <family val="2"/>
        <scheme val="minor"/>
      </rPr>
      <t xml:space="preserve"> (1)</t>
    </r>
    <r>
      <rPr>
        <b/>
        <sz val="10"/>
        <rFont val="Calibri"/>
        <family val="2"/>
        <scheme val="minor"/>
      </rPr>
      <t>*</t>
    </r>
  </si>
  <si>
    <r>
      <t>Territoire du Distributeur</t>
    </r>
    <r>
      <rPr>
        <b/>
        <sz val="10"/>
        <color rgb="FF1F497D"/>
        <rFont val="Calibri"/>
        <family val="2"/>
        <scheme val="minor"/>
      </rPr>
      <t xml:space="preserve">
</t>
    </r>
    <r>
      <rPr>
        <b/>
        <sz val="9"/>
        <color rgb="FF1F497D"/>
        <rFont val="Calibri"/>
        <family val="2"/>
        <scheme val="minor"/>
      </rPr>
      <t>(SVP Utilisez la liste déroulante)</t>
    </r>
  </si>
  <si>
    <r>
      <t xml:space="preserve">Le Distributeur est-il apparenté au Requérant?
</t>
    </r>
    <r>
      <rPr>
        <b/>
        <sz val="10"/>
        <color rgb="FF1F497D"/>
        <rFont val="Calibri"/>
        <family val="2"/>
        <scheme val="minor"/>
      </rPr>
      <t>(SVP Utilisez la liste déroulante)</t>
    </r>
  </si>
  <si>
    <t>Doit être complété pour les
distributeurs</t>
  </si>
  <si>
    <t>(2): Seul l'EFA permis apparaîtra dans la colonne pour le Télédiffuseur étranger (I)</t>
  </si>
  <si>
    <t>Ne pas supprimer cette colonne</t>
  </si>
  <si>
    <t>Calcul de la durée maximale des droits de diffusion et des avances de distribution admissibles :</t>
  </si>
  <si>
    <t>Durées maximales, contributions des programmes des enveloppes, Droits de diffusion admissibles (« DDA ») et Avance de distribution admissible (« ADA ») et Engagement financier admissible (« EFA ») :</t>
  </si>
  <si>
    <t>Le projet reçoit-il une allocation des enveloppes des télédiffuseurs et/ou distributeurs?</t>
  </si>
  <si>
    <t>Télédiffuseur
(DDA)</t>
  </si>
  <si>
    <t>Distributeur
(ADA)</t>
  </si>
  <si>
    <r>
      <t xml:space="preserve">Entité internationale (EFA) </t>
    </r>
    <r>
      <rPr>
        <b/>
        <sz val="10"/>
        <color rgb="FF1F497D"/>
        <rFont val="Calibri"/>
        <family val="2"/>
        <scheme val="minor"/>
      </rPr>
      <t>(2)</t>
    </r>
  </si>
  <si>
    <t>Total des engagements admissibles du marché</t>
  </si>
  <si>
    <t xml:space="preserve"> % sur le devis des
engagements admissibles du marché</t>
  </si>
  <si>
    <t>Contribution des Env. des télédiffuseurs et/ou distributeurs</t>
  </si>
  <si>
    <r>
      <t xml:space="preserve">Allocation minimale requise d’enveloppe de </t>
    </r>
    <r>
      <rPr>
        <b/>
        <u/>
        <sz val="10"/>
        <color rgb="FF000000"/>
        <rFont val="Calibri"/>
        <family val="2"/>
        <scheme val="minor"/>
      </rPr>
      <t>langue française</t>
    </r>
    <r>
      <rPr>
        <b/>
        <sz val="10"/>
        <color rgb="FF000000"/>
        <rFont val="Calibri"/>
        <family val="2"/>
        <scheme val="minor"/>
      </rPr>
      <t xml:space="preserve"> </t>
    </r>
  </si>
  <si>
    <t>Durée
(en mois)</t>
  </si>
  <si>
    <t>Canadien</t>
  </si>
  <si>
    <t>Montant permis</t>
  </si>
  <si>
    <r>
      <t xml:space="preserve">2026-2027 - Feuille de calcul des exigences seuil pour les engagements admissibles du marché, de la contribution et durée maximale
</t>
    </r>
    <r>
      <rPr>
        <b/>
        <sz val="14"/>
        <rFont val="Calibri"/>
        <family val="2"/>
        <scheme val="minor"/>
      </rPr>
      <t>Programme pour les documentaires d'auteur</t>
    </r>
    <r>
      <rPr>
        <b/>
        <sz val="12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*see different sheet at the bottom for an English project</t>
    </r>
  </si>
  <si>
    <r>
      <t xml:space="preserve">Programme des enveloppes 
</t>
    </r>
    <r>
      <rPr>
        <b/>
        <u/>
        <sz val="10"/>
        <color rgb="FF000000"/>
        <rFont val="Calibri"/>
        <family val="2"/>
        <scheme val="minor"/>
      </rPr>
      <t>des télédiffuseurs</t>
    </r>
    <r>
      <rPr>
        <b/>
        <sz val="10"/>
        <color indexed="8"/>
        <rFont val="Calibri"/>
        <family val="2"/>
        <scheme val="minor"/>
      </rPr>
      <t xml:space="preserve"> et </t>
    </r>
    <r>
      <rPr>
        <b/>
        <u/>
        <sz val="10"/>
        <color rgb="FF000000"/>
        <rFont val="Calibri"/>
        <family val="2"/>
        <scheme val="minor"/>
      </rPr>
      <t>des distributeurs</t>
    </r>
  </si>
  <si>
    <r>
      <t xml:space="preserve">Indiquez le montant d’enveloppe de </t>
    </r>
    <r>
      <rPr>
        <b/>
        <u/>
        <sz val="10"/>
        <rFont val="Calibri"/>
        <family val="2"/>
      </rPr>
      <t>langue française</t>
    </r>
    <r>
      <rPr>
        <b/>
        <sz val="10"/>
        <rFont val="Calibri"/>
        <family val="2"/>
      </rPr>
      <t xml:space="preserve"> du Programme des télédiffuseurs et/ou du Programme des distributeurs</t>
    </r>
  </si>
  <si>
    <t>Toutes les catégories de devis</t>
  </si>
  <si>
    <r>
      <rPr>
        <b/>
        <sz val="12"/>
        <rFont val="Calibri"/>
        <family val="2"/>
        <scheme val="minor"/>
      </rPr>
      <t>2026-2027 - Eligible Market Commitment Thresholds, Maximum Contribution and Term Calculation Sheet</t>
    </r>
    <r>
      <rPr>
        <b/>
        <sz val="1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POV Program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color rgb="FF0070C0"/>
        <rFont val="Calibri"/>
        <family val="2"/>
        <scheme val="minor"/>
      </rPr>
      <t>*voir onglet séparé au bas pour les projets en français</t>
    </r>
  </si>
  <si>
    <r>
      <t xml:space="preserve">(1) : Entrez </t>
    </r>
    <r>
      <rPr>
        <b/>
        <i/>
        <u/>
        <sz val="9"/>
        <color theme="3"/>
        <rFont val="Calibri"/>
        <family val="2"/>
        <scheme val="minor"/>
      </rPr>
      <t>en premier</t>
    </r>
    <r>
      <rPr>
        <b/>
        <i/>
        <sz val="9"/>
        <color theme="3"/>
        <rFont val="Calibri"/>
        <family val="2"/>
        <scheme val="minor"/>
      </rPr>
      <t xml:space="preserve"> et par </t>
    </r>
    <r>
      <rPr>
        <b/>
        <i/>
        <u/>
        <sz val="9"/>
        <color theme="3"/>
        <rFont val="Calibri"/>
        <family val="2"/>
        <scheme val="minor"/>
      </rPr>
      <t>ordre croissant</t>
    </r>
    <r>
      <rPr>
        <b/>
        <i/>
        <sz val="9"/>
        <color theme="3"/>
        <rFont val="Calibri"/>
        <family val="2"/>
        <scheme val="minor"/>
      </rPr>
      <t xml:space="preserve"> de début de la période des droits, les Droits de diffusion admissibles ET l'Avance de distribution admissible pour les </t>
    </r>
    <r>
      <rPr>
        <b/>
        <i/>
        <u/>
        <sz val="9"/>
        <color theme="3"/>
        <rFont val="Calibri"/>
        <family val="2"/>
        <scheme val="minor"/>
      </rPr>
      <t xml:space="preserve">droits d'exploitation au Canada </t>
    </r>
    <r>
      <rPr>
        <b/>
        <i/>
        <sz val="9"/>
        <color theme="3"/>
        <rFont val="Calibri"/>
        <family val="2"/>
        <scheme val="minor"/>
      </rPr>
      <t>du Distributeur canadien admissible</t>
    </r>
    <r>
      <rPr>
        <b/>
        <i/>
        <u/>
        <sz val="9"/>
        <color theme="3"/>
        <rFont val="Calibri"/>
        <family val="2"/>
        <scheme val="minor"/>
      </rPr>
      <t xml:space="preserve"> non apparenté</t>
    </r>
  </si>
  <si>
    <t>Entrez un seul montant par ligne pour (i) les Droits de diffusion (ii) l'Avance de distribution, ou (iii) l'Engagement financier.</t>
  </si>
  <si>
    <r>
      <t>Montant de l'allocation d'enveloppe excédentaire/(</t>
    </r>
    <r>
      <rPr>
        <b/>
        <sz val="10"/>
        <color rgb="FFFF0000"/>
        <rFont val="Calibri"/>
        <family val="2"/>
        <scheme val="minor"/>
      </rPr>
      <t>insuffisant</t>
    </r>
    <r>
      <rPr>
        <b/>
        <sz val="10"/>
        <color rgb="FF000000"/>
        <rFont val="Calibri"/>
        <family val="2"/>
        <scheme val="minor"/>
      </rPr>
      <t>)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</si>
</sst>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#,##0\ &quot;$&quot;_);\(#,##0\ &quot;$&quot;\)"/>
    <numFmt numFmtId="44" formatCode="_ * #,##0.00_)\ &quot;$&quot;_ ;_ * \(#,##0.00\)\ &quot;$&quot;_ ;_ * &quot;-&quot;??_)\ &quot;$&quot;_ ;_ @_ "/>
    <numFmt numFmtId="164" formatCode="_-* #,##0_-;\-* #,##0_-;_-* &quot;-&quot;_-;_-@_-"/>
    <numFmt numFmtId="165" formatCode="_-&quot;$&quot;* #,##0_-;\-&quot;$&quot;* #,##0_-;_-&quot;$&quot;* &quot;-&quot;_-;_-@_-"/>
    <numFmt numFmtId="166" formatCode="&quot;$&quot;#,##0.00_);\(&quot;$&quot;#,##0.00\)"/>
    <numFmt numFmtId="167" formatCode="0.0%"/>
    <numFmt numFmtId="168" formatCode="[$-409]d\-mmm\-yyyy;@"/>
    <numFmt numFmtId="169" formatCode="&quot;$&quot;#,##0"/>
    <numFmt numFmtId="170" formatCode="yyyy\-mm\-dd;@"/>
    <numFmt numFmtId="171" formatCode="[$$-1009]#,##0"/>
    <numFmt numFmtId="172" formatCode="#,##0.0_);\(#,##0.0\)"/>
    <numFmt numFmtId="173" formatCode="[$$-409]#,##0_);\([$$-409]#,##0\)"/>
    <numFmt numFmtId="174" formatCode="yyyy/mm/dd;@"/>
    <numFmt numFmtId="175" formatCode=";;;"/>
    <numFmt numFmtId="176" formatCode="[$$-1009]#,##0;\-[$$-1009]#,##0"/>
    <numFmt numFmtId="177" formatCode="_ * #,##0_)\ &quot;$&quot;_ ;_ * \(#,##0\)\ &quot;$&quot;_ ;_ * &quot;-&quot;??_)\ &quot;$&quot;_ ;_ @_ "/>
    <numFmt numFmtId="178" formatCode="[$-40C]d\-mmm\-yyyy;@"/>
    <numFmt numFmtId="179" formatCode="#,##0\ [$$-C0C]_);[Red]\(#,##0\ [$$-C0C]\)"/>
    <numFmt numFmtId="180" formatCode="_ * #,##0_)\ [$$-C0C]_ ;_ * \(#,##0\)\ [$$-C0C]_ ;_ * &quot;-&quot;??_)\ [$$-C0C]_ ;_ @_ "/>
    <numFmt numFmtId="181" formatCode="#,##0\ [$$-C0C]_);\(#,##0\ [$$-C0C]\)"/>
    <numFmt numFmtId="182" formatCode="_-&quot;$&quot;* #,##0.00_-;\-&quot;$&quot;* #,##0.00_-;_-&quot;$&quot;* &quot;-&quot;??_-;_-@_-"/>
    <numFmt numFmtId="183" formatCode="[$$-1009]#,##0;[Red]\-[$$-1009]#,##0"/>
  </numFmts>
  <fonts count="90" x14ac:knownFonts="1">
    <font>
      <sz val="12"/>
      <name val="Arial"/>
    </font>
    <font>
      <sz val="12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i/>
      <sz val="10"/>
      <color rgb="FFFF0000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i/>
      <sz val="16"/>
      <color rgb="FF00B050"/>
      <name val="Arial"/>
      <family val="2"/>
    </font>
    <font>
      <sz val="16"/>
      <color rgb="FFFF0000"/>
      <name val="Arial"/>
      <family val="2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1"/>
      <name val="Arial"/>
      <family val="2"/>
    </font>
    <font>
      <b/>
      <i/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i/>
      <strike/>
      <sz val="8"/>
      <color theme="3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sz val="12"/>
      <color rgb="FF1F497D"/>
      <name val="Arial"/>
      <family val="2"/>
    </font>
    <font>
      <b/>
      <sz val="10"/>
      <color rgb="FF1F497D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b/>
      <i/>
      <sz val="10"/>
      <color rgb="FF1F497D"/>
      <name val="Calibri"/>
      <family val="2"/>
    </font>
    <font>
      <sz val="10"/>
      <color rgb="FF1F497D"/>
      <name val="Arial"/>
      <family val="2"/>
    </font>
    <font>
      <b/>
      <i/>
      <sz val="10"/>
      <color rgb="FF1F497D"/>
      <name val="Arial"/>
      <family val="2"/>
    </font>
    <font>
      <sz val="9"/>
      <color rgb="FF1F497D"/>
      <name val="Arial"/>
      <family val="2"/>
    </font>
    <font>
      <sz val="6"/>
      <color theme="1"/>
      <name val="Calibri"/>
      <family val="2"/>
      <scheme val="minor"/>
    </font>
    <font>
      <b/>
      <sz val="9.5"/>
      <color indexed="8"/>
      <name val="Calibri"/>
      <family val="2"/>
      <scheme val="minor"/>
    </font>
    <font>
      <b/>
      <u/>
      <sz val="9.5"/>
      <color rgb="FF000000"/>
      <name val="Calibri"/>
      <family val="2"/>
      <scheme val="minor"/>
    </font>
    <font>
      <b/>
      <i/>
      <sz val="9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6"/>
      <color indexed="8"/>
      <name val="Calibri"/>
      <family val="2"/>
      <scheme val="minor"/>
    </font>
    <font>
      <sz val="6"/>
      <name val="Calibri"/>
      <family val="2"/>
      <scheme val="minor"/>
    </font>
    <font>
      <b/>
      <i/>
      <u/>
      <sz val="10"/>
      <color rgb="FF1F497D"/>
      <name val="Calibri"/>
      <family val="2"/>
    </font>
    <font>
      <b/>
      <sz val="9"/>
      <color rgb="FFFF0000"/>
      <name val="Calibri"/>
      <family val="2"/>
      <scheme val="minor"/>
    </font>
    <font>
      <sz val="9"/>
      <color theme="1"/>
      <name val="Arial"/>
      <family val="2"/>
    </font>
    <font>
      <i/>
      <sz val="10"/>
      <name val="Calibri"/>
      <family val="2"/>
      <scheme val="minor"/>
    </font>
    <font>
      <b/>
      <sz val="8"/>
      <color rgb="FF1F497D"/>
      <name val="Calibri"/>
      <family val="2"/>
      <scheme val="minor"/>
    </font>
    <font>
      <b/>
      <sz val="9"/>
      <color rgb="FF1F497D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  <font>
      <i/>
      <strike/>
      <sz val="9"/>
      <name val="Calibri"/>
      <family val="2"/>
      <scheme val="minor"/>
    </font>
    <font>
      <b/>
      <i/>
      <sz val="9"/>
      <color theme="3"/>
      <name val="Calibri"/>
      <family val="2"/>
      <scheme val="minor"/>
    </font>
    <font>
      <b/>
      <i/>
      <u/>
      <sz val="9"/>
      <color theme="3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8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8A15A"/>
        <bgColor indexed="64"/>
      </patternFill>
    </fill>
    <fill>
      <patternFill patternType="solid">
        <fgColor rgb="FFFDE2CB"/>
        <bgColor indexed="64"/>
      </patternFill>
    </fill>
    <fill>
      <patternFill patternType="solid">
        <fgColor rgb="FFE1EB8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7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165" fontId="8" fillId="0" borderId="0" xfId="2" applyFont="1" applyFill="1" applyBorder="1" applyAlignment="1" applyProtection="1">
      <alignment horizontal="left" vertical="center" wrapText="1"/>
    </xf>
    <xf numFmtId="165" fontId="11" fillId="0" borderId="0" xfId="2" applyFont="1" applyFill="1" applyBorder="1" applyAlignment="1" applyProtection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5" fontId="4" fillId="0" borderId="0" xfId="0" applyNumberFormat="1" applyFont="1" applyAlignment="1" applyProtection="1">
      <alignment horizontal="right" vertical="center" wrapText="1"/>
      <protection locked="0"/>
    </xf>
    <xf numFmtId="175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5" fontId="4" fillId="0" borderId="0" xfId="2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9" fontId="28" fillId="3" borderId="5" xfId="3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1" fillId="6" borderId="4" xfId="0" applyFont="1" applyFill="1" applyBorder="1" applyAlignment="1">
      <alignment horizontal="right" vertical="center" wrapText="1"/>
    </xf>
    <xf numFmtId="165" fontId="31" fillId="6" borderId="4" xfId="2" applyFont="1" applyFill="1" applyBorder="1" applyAlignment="1" applyProtection="1">
      <alignment vertical="center" wrapText="1"/>
    </xf>
    <xf numFmtId="0" fontId="30" fillId="0" borderId="4" xfId="0" applyFont="1" applyBorder="1" applyAlignment="1">
      <alignment vertical="center"/>
    </xf>
    <xf numFmtId="0" fontId="27" fillId="9" borderId="0" xfId="0" applyFont="1" applyFill="1" applyAlignment="1" applyProtection="1">
      <alignment vertical="center"/>
      <protection hidden="1"/>
    </xf>
    <xf numFmtId="0" fontId="36" fillId="0" borderId="0" xfId="0" applyFont="1" applyAlignment="1">
      <alignment vertical="center"/>
    </xf>
    <xf numFmtId="0" fontId="15" fillId="6" borderId="0" xfId="0" applyFont="1" applyFill="1" applyAlignment="1">
      <alignment horizontal="left" vertical="center"/>
    </xf>
    <xf numFmtId="0" fontId="26" fillId="6" borderId="0" xfId="0" applyFont="1" applyFill="1" applyAlignment="1">
      <alignment horizontal="left" vertical="center"/>
    </xf>
    <xf numFmtId="0" fontId="31" fillId="0" borderId="0" xfId="0" applyFont="1" applyAlignment="1">
      <alignment vertical="center"/>
    </xf>
    <xf numFmtId="0" fontId="27" fillId="3" borderId="5" xfId="0" applyFont="1" applyFill="1" applyBorder="1" applyAlignment="1">
      <alignment horizontal="center" vertical="center" wrapText="1"/>
    </xf>
    <xf numFmtId="1" fontId="27" fillId="3" borderId="5" xfId="0" applyNumberFormat="1" applyFont="1" applyFill="1" applyBorder="1" applyAlignment="1">
      <alignment horizontal="center" vertical="center" wrapText="1"/>
    </xf>
    <xf numFmtId="168" fontId="27" fillId="3" borderId="5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1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right" vertical="center" wrapText="1"/>
    </xf>
    <xf numFmtId="0" fontId="28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8" fillId="0" borderId="12" xfId="0" applyFont="1" applyBorder="1" applyAlignment="1">
      <alignment horizontal="right" vertical="center" wrapText="1"/>
    </xf>
    <xf numFmtId="0" fontId="45" fillId="0" borderId="0" xfId="0" applyFont="1" applyAlignment="1">
      <alignment vertical="center"/>
    </xf>
    <xf numFmtId="37" fontId="27" fillId="2" borderId="5" xfId="2" applyNumberFormat="1" applyFont="1" applyFill="1" applyBorder="1" applyAlignment="1" applyProtection="1">
      <alignment horizontal="center" vertical="center" wrapText="1"/>
      <protection locked="0"/>
    </xf>
    <xf numFmtId="172" fontId="27" fillId="3" borderId="5" xfId="2" applyNumberFormat="1" applyFont="1" applyFill="1" applyBorder="1" applyAlignment="1" applyProtection="1">
      <alignment horizontal="center" vertical="center" wrapText="1"/>
    </xf>
    <xf numFmtId="165" fontId="12" fillId="0" borderId="0" xfId="2" applyFont="1" applyFill="1" applyBorder="1" applyAlignment="1" applyProtection="1">
      <alignment vertical="center" wrapText="1"/>
    </xf>
    <xf numFmtId="173" fontId="27" fillId="3" borderId="5" xfId="2" applyNumberFormat="1" applyFont="1" applyFill="1" applyBorder="1" applyAlignment="1" applyProtection="1">
      <alignment horizontal="center" vertical="center"/>
    </xf>
    <xf numFmtId="0" fontId="24" fillId="0" borderId="14" xfId="0" applyFont="1" applyBorder="1" applyAlignment="1">
      <alignment horizontal="right" vertical="center" wrapText="1"/>
    </xf>
    <xf numFmtId="0" fontId="31" fillId="6" borderId="0" xfId="0" applyFont="1" applyFill="1" applyAlignment="1">
      <alignment vertical="center"/>
    </xf>
    <xf numFmtId="0" fontId="28" fillId="15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173" fontId="0" fillId="0" borderId="0" xfId="0" applyNumberFormat="1" applyAlignment="1">
      <alignment vertical="center"/>
    </xf>
    <xf numFmtId="0" fontId="2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8" fillId="0" borderId="5" xfId="5" applyFont="1" applyBorder="1" applyAlignment="1">
      <alignment horizontal="right" vertical="center"/>
    </xf>
    <xf numFmtId="0" fontId="45" fillId="0" borderId="0" xfId="5" applyFont="1" applyAlignment="1">
      <alignment vertical="center"/>
    </xf>
    <xf numFmtId="180" fontId="27" fillId="3" borderId="5" xfId="2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Alignment="1">
      <alignment vertical="center"/>
    </xf>
    <xf numFmtId="49" fontId="4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8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1" applyFont="1" applyFill="1" applyBorder="1" applyAlignment="1" applyProtection="1">
      <alignment vertical="center" wrapText="1"/>
    </xf>
    <xf numFmtId="0" fontId="4" fillId="0" borderId="0" xfId="0" applyFont="1" applyAlignment="1">
      <alignment horizontal="right" vertical="center"/>
    </xf>
    <xf numFmtId="49" fontId="4" fillId="0" borderId="0" xfId="2" applyNumberFormat="1" applyFont="1" applyFill="1" applyBorder="1" applyAlignment="1" applyProtection="1">
      <alignment vertical="center" wrapText="1"/>
    </xf>
    <xf numFmtId="49" fontId="4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167" fontId="55" fillId="0" borderId="0" xfId="3" applyNumberFormat="1" applyFont="1" applyFill="1" applyBorder="1" applyAlignment="1" applyProtection="1">
      <alignment vertical="center" wrapText="1"/>
    </xf>
    <xf numFmtId="0" fontId="51" fillId="0" borderId="0" xfId="0" applyFont="1" applyAlignment="1">
      <alignment horizontal="left" vertical="center"/>
    </xf>
    <xf numFmtId="49" fontId="56" fillId="0" borderId="0" xfId="2" applyNumberFormat="1" applyFont="1" applyFill="1" applyBorder="1" applyAlignment="1" applyProtection="1">
      <alignment horizontal="left" vertical="center"/>
    </xf>
    <xf numFmtId="0" fontId="56" fillId="0" borderId="0" xfId="0" applyFont="1" applyAlignment="1">
      <alignment vertical="center"/>
    </xf>
    <xf numFmtId="0" fontId="56" fillId="0" borderId="0" xfId="2" applyNumberFormat="1" applyFont="1" applyFill="1" applyAlignment="1">
      <alignment vertical="center"/>
    </xf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65" fontId="64" fillId="0" borderId="0" xfId="2" applyFont="1" applyFill="1" applyBorder="1" applyAlignment="1" applyProtection="1">
      <alignment vertical="center"/>
    </xf>
    <xf numFmtId="165" fontId="56" fillId="0" borderId="0" xfId="2" applyFont="1" applyFill="1" applyBorder="1" applyAlignment="1">
      <alignment horizontal="left" vertical="top"/>
    </xf>
    <xf numFmtId="165" fontId="56" fillId="0" borderId="0" xfId="2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vertical="center"/>
      <protection hidden="1"/>
    </xf>
    <xf numFmtId="0" fontId="24" fillId="0" borderId="12" xfId="0" applyFont="1" applyBorder="1" applyAlignment="1">
      <alignment horizontal="left" vertical="center" wrapText="1"/>
    </xf>
    <xf numFmtId="0" fontId="60" fillId="0" borderId="5" xfId="0" applyFont="1" applyBorder="1" applyAlignment="1">
      <alignment horizontal="center" vertical="center" wrapText="1"/>
    </xf>
    <xf numFmtId="173" fontId="27" fillId="5" borderId="5" xfId="2" applyNumberFormat="1" applyFont="1" applyFill="1" applyBorder="1" applyAlignment="1" applyProtection="1">
      <alignment horizontal="center" vertical="center" shrinkToFit="1"/>
      <protection locked="0"/>
    </xf>
    <xf numFmtId="0" fontId="27" fillId="2" borderId="5" xfId="0" applyFont="1" applyFill="1" applyBorder="1" applyAlignment="1" applyProtection="1">
      <alignment horizontal="center" vertical="center" shrinkToFit="1"/>
      <protection locked="0"/>
    </xf>
    <xf numFmtId="180" fontId="27" fillId="5" borderId="5" xfId="2" applyNumberFormat="1" applyFont="1" applyFill="1" applyBorder="1" applyAlignment="1" applyProtection="1">
      <alignment horizontal="center" vertical="center" shrinkToFit="1"/>
      <protection locked="0"/>
    </xf>
    <xf numFmtId="180" fontId="28" fillId="4" borderId="21" xfId="2" applyNumberFormat="1" applyFont="1" applyFill="1" applyBorder="1" applyAlignment="1" applyProtection="1">
      <alignment horizontal="center" vertical="center" shrinkToFit="1"/>
    </xf>
    <xf numFmtId="177" fontId="33" fillId="3" borderId="15" xfId="7" applyNumberFormat="1" applyFont="1" applyFill="1" applyBorder="1" applyAlignment="1" applyProtection="1">
      <alignment horizontal="center" vertical="center" shrinkToFit="1"/>
    </xf>
    <xf numFmtId="0" fontId="30" fillId="0" borderId="0" xfId="0" applyFont="1" applyAlignment="1">
      <alignment vertical="center" shrinkToFit="1"/>
    </xf>
    <xf numFmtId="166" fontId="31" fillId="0" borderId="0" xfId="2" applyNumberFormat="1" applyFont="1" applyFill="1" applyBorder="1" applyAlignment="1" applyProtection="1">
      <alignment horizontal="center" vertical="center" shrinkToFit="1"/>
    </xf>
    <xf numFmtId="165" fontId="31" fillId="0" borderId="0" xfId="2" applyFont="1" applyFill="1" applyBorder="1" applyAlignment="1" applyProtection="1">
      <alignment horizontal="center" vertical="center" shrinkToFit="1"/>
    </xf>
    <xf numFmtId="37" fontId="31" fillId="0" borderId="0" xfId="2" applyNumberFormat="1" applyFont="1" applyFill="1" applyBorder="1" applyAlignment="1" applyProtection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165" fontId="8" fillId="0" borderId="0" xfId="2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5" fontId="28" fillId="2" borderId="5" xfId="2" applyNumberFormat="1" applyFont="1" applyFill="1" applyBorder="1" applyAlignment="1" applyProtection="1">
      <alignment horizontal="center" vertical="center" shrinkToFit="1"/>
      <protection locked="0"/>
    </xf>
    <xf numFmtId="180" fontId="27" fillId="3" borderId="5" xfId="2" applyNumberFormat="1" applyFont="1" applyFill="1" applyBorder="1" applyAlignment="1" applyProtection="1">
      <alignment horizontal="center" vertical="center" shrinkToFit="1"/>
    </xf>
    <xf numFmtId="173" fontId="27" fillId="3" borderId="5" xfId="2" applyNumberFormat="1" applyFont="1" applyFill="1" applyBorder="1" applyAlignment="1" applyProtection="1">
      <alignment horizontal="center" vertical="center" shrinkToFit="1"/>
    </xf>
    <xf numFmtId="49" fontId="68" fillId="0" borderId="0" xfId="2" applyNumberFormat="1" applyFont="1" applyFill="1" applyBorder="1" applyAlignment="1" applyProtection="1">
      <alignment horizontal="left" vertical="center"/>
    </xf>
    <xf numFmtId="0" fontId="17" fillId="6" borderId="0" xfId="0" applyFont="1" applyFill="1" applyAlignment="1">
      <alignment vertical="center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5" xfId="5" applyFont="1" applyBorder="1" applyAlignment="1" applyProtection="1">
      <alignment horizontal="center" vertical="center" wrapText="1"/>
      <protection hidden="1"/>
    </xf>
    <xf numFmtId="0" fontId="28" fillId="8" borderId="5" xfId="5" applyFont="1" applyFill="1" applyBorder="1" applyAlignment="1" applyProtection="1">
      <alignment horizontal="center" vertical="center" wrapText="1"/>
      <protection hidden="1"/>
    </xf>
    <xf numFmtId="0" fontId="28" fillId="15" borderId="5" xfId="5" applyFont="1" applyFill="1" applyBorder="1" applyAlignment="1" applyProtection="1">
      <alignment horizontal="center" vertical="center" wrapText="1"/>
      <protection hidden="1"/>
    </xf>
    <xf numFmtId="0" fontId="38" fillId="0" borderId="13" xfId="0" applyFont="1" applyBorder="1" applyAlignment="1" applyProtection="1">
      <alignment horizontal="center" vertical="center" wrapText="1"/>
      <protection hidden="1"/>
    </xf>
    <xf numFmtId="49" fontId="28" fillId="3" borderId="5" xfId="5" applyNumberFormat="1" applyFont="1" applyFill="1" applyBorder="1" applyAlignment="1" applyProtection="1">
      <alignment horizontal="center" vertical="center" shrinkToFit="1"/>
      <protection hidden="1"/>
    </xf>
    <xf numFmtId="0" fontId="24" fillId="0" borderId="13" xfId="0" applyFont="1" applyBorder="1" applyAlignment="1" applyProtection="1">
      <alignment horizontal="center" vertical="center" wrapText="1"/>
      <protection hidden="1"/>
    </xf>
    <xf numFmtId="49" fontId="27" fillId="3" borderId="5" xfId="0" applyNumberFormat="1" applyFont="1" applyFill="1" applyBorder="1" applyAlignment="1" applyProtection="1">
      <alignment horizontal="center" vertical="center" shrinkToFi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49" fontId="27" fillId="3" borderId="11" xfId="0" applyNumberFormat="1" applyFont="1" applyFill="1" applyBorder="1" applyAlignment="1" applyProtection="1">
      <alignment horizontal="center" vertical="center" shrinkToFi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19" xfId="0" applyFont="1" applyBorder="1" applyAlignment="1" applyProtection="1">
      <alignment horizontal="right" vertical="center" shrinkToFit="1"/>
      <protection hidden="1"/>
    </xf>
    <xf numFmtId="0" fontId="30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8" fillId="0" borderId="3" xfId="0" applyFont="1" applyBorder="1" applyAlignment="1" applyProtection="1">
      <alignment horizontal="center" vertical="center" wrapText="1"/>
      <protection hidden="1"/>
    </xf>
    <xf numFmtId="0" fontId="24" fillId="8" borderId="5" xfId="5" applyFont="1" applyFill="1" applyBorder="1" applyAlignment="1" applyProtection="1">
      <alignment horizontal="center" vertical="center" wrapText="1"/>
      <protection hidden="1"/>
    </xf>
    <xf numFmtId="0" fontId="28" fillId="12" borderId="5" xfId="5" applyFont="1" applyFill="1" applyBorder="1" applyAlignment="1" applyProtection="1">
      <alignment horizontal="center" vertical="center" wrapText="1"/>
      <protection hidden="1"/>
    </xf>
    <xf numFmtId="0" fontId="28" fillId="8" borderId="5" xfId="0" applyFont="1" applyFill="1" applyBorder="1" applyAlignment="1" applyProtection="1">
      <alignment horizontal="center" vertical="center" wrapText="1"/>
      <protection hidden="1"/>
    </xf>
    <xf numFmtId="0" fontId="24" fillId="18" borderId="5" xfId="0" applyFont="1" applyFill="1" applyBorder="1" applyAlignment="1" applyProtection="1">
      <alignment horizontal="center" vertical="center" wrapText="1"/>
      <protection hidden="1"/>
    </xf>
    <xf numFmtId="0" fontId="24" fillId="11" borderId="3" xfId="5" applyFont="1" applyFill="1" applyBorder="1" applyAlignment="1" applyProtection="1">
      <alignment horizontal="left" vertical="center"/>
      <protection hidden="1"/>
    </xf>
    <xf numFmtId="0" fontId="0" fillId="11" borderId="0" xfId="0" applyFill="1" applyProtection="1">
      <protection hidden="1"/>
    </xf>
    <xf numFmtId="0" fontId="33" fillId="0" borderId="5" xfId="5" applyFont="1" applyBorder="1" applyAlignment="1" applyProtection="1">
      <alignment horizontal="center" vertical="center" wrapText="1"/>
      <protection hidden="1"/>
    </xf>
    <xf numFmtId="9" fontId="33" fillId="0" borderId="5" xfId="0" applyNumberFormat="1" applyFont="1" applyBorder="1" applyAlignment="1" applyProtection="1">
      <alignment horizontal="center" vertical="center" wrapText="1"/>
      <protection hidden="1"/>
    </xf>
    <xf numFmtId="181" fontId="33" fillId="3" borderId="5" xfId="2" applyNumberFormat="1" applyFont="1" applyFill="1" applyBorder="1" applyAlignment="1" applyProtection="1">
      <alignment horizontal="center" vertical="center" shrinkToFit="1"/>
      <protection hidden="1"/>
    </xf>
    <xf numFmtId="173" fontId="33" fillId="3" borderId="5" xfId="2" applyNumberFormat="1" applyFont="1" applyFill="1" applyBorder="1" applyAlignment="1" applyProtection="1">
      <alignment horizontal="center" vertical="center" shrinkToFit="1"/>
      <protection hidden="1"/>
    </xf>
    <xf numFmtId="0" fontId="27" fillId="0" borderId="5" xfId="5" applyFont="1" applyBorder="1" applyAlignment="1" applyProtection="1">
      <alignment horizontal="center" vertical="center" wrapText="1"/>
      <protection hidden="1"/>
    </xf>
    <xf numFmtId="9" fontId="27" fillId="0" borderId="5" xfId="0" applyNumberFormat="1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left" vertical="center" wrapText="1"/>
      <protection hidden="1"/>
    </xf>
    <xf numFmtId="0" fontId="24" fillId="0" borderId="15" xfId="0" applyFont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vertical="center"/>
      <protection hidden="1"/>
    </xf>
    <xf numFmtId="0" fontId="28" fillId="12" borderId="5" xfId="0" applyFont="1" applyFill="1" applyBorder="1" applyAlignment="1" applyProtection="1">
      <alignment horizontal="center" vertical="center" wrapText="1"/>
      <protection hidden="1"/>
    </xf>
    <xf numFmtId="0" fontId="28" fillId="14" borderId="5" xfId="0" applyFont="1" applyFill="1" applyBorder="1" applyAlignment="1" applyProtection="1">
      <alignment horizontal="center" vertical="center" wrapText="1"/>
      <protection hidden="1"/>
    </xf>
    <xf numFmtId="0" fontId="24" fillId="13" borderId="5" xfId="0" applyFont="1" applyFill="1" applyBorder="1" applyAlignment="1" applyProtection="1">
      <alignment horizontal="center" vertical="center" wrapText="1"/>
      <protection hidden="1"/>
    </xf>
    <xf numFmtId="0" fontId="27" fillId="0" borderId="5" xfId="0" applyFont="1" applyBorder="1" applyAlignment="1" applyProtection="1">
      <alignment horizontal="center" vertical="center" wrapText="1"/>
      <protection hidden="1"/>
    </xf>
    <xf numFmtId="0" fontId="33" fillId="0" borderId="5" xfId="0" applyFont="1" applyBorder="1" applyAlignment="1" applyProtection="1">
      <alignment horizontal="center" vertical="center" wrapText="1"/>
      <protection hidden="1"/>
    </xf>
    <xf numFmtId="37" fontId="27" fillId="3" borderId="8" xfId="2" applyNumberFormat="1" applyFont="1" applyFill="1" applyBorder="1" applyAlignment="1" applyProtection="1">
      <alignment horizontal="center" vertical="center" shrinkToFit="1"/>
      <protection hidden="1"/>
    </xf>
    <xf numFmtId="0" fontId="17" fillId="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171" fontId="29" fillId="0" borderId="0" xfId="0" applyNumberFormat="1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173" fontId="30" fillId="0" borderId="0" xfId="0" applyNumberFormat="1" applyFont="1" applyAlignment="1" applyProtection="1">
      <alignment vertical="center"/>
      <protection hidden="1"/>
    </xf>
    <xf numFmtId="173" fontId="27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47" fillId="6" borderId="4" xfId="5" applyFont="1" applyFill="1" applyBorder="1" applyAlignment="1" applyProtection="1">
      <alignment horizontal="left" vertical="center"/>
      <protection hidden="1"/>
    </xf>
    <xf numFmtId="0" fontId="28" fillId="0" borderId="5" xfId="0" applyFont="1" applyBorder="1" applyAlignment="1" applyProtection="1">
      <alignment horizontal="center" vertical="center" wrapText="1"/>
      <protection hidden="1"/>
    </xf>
    <xf numFmtId="0" fontId="28" fillId="0" borderId="11" xfId="0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7" fillId="3" borderId="5" xfId="0" applyFont="1" applyFill="1" applyBorder="1" applyAlignment="1" applyProtection="1">
      <alignment horizontal="center" vertical="center" wrapText="1"/>
      <protection hidden="1"/>
    </xf>
    <xf numFmtId="1" fontId="27" fillId="3" borderId="5" xfId="0" applyNumberFormat="1" applyFont="1" applyFill="1" applyBorder="1" applyAlignment="1" applyProtection="1">
      <alignment horizontal="center" vertical="center" wrapText="1"/>
      <protection hidden="1"/>
    </xf>
    <xf numFmtId="168" fontId="27" fillId="3" borderId="5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hidden="1"/>
    </xf>
    <xf numFmtId="49" fontId="27" fillId="2" borderId="5" xfId="2" applyNumberFormat="1" applyFont="1" applyFill="1" applyBorder="1" applyAlignment="1" applyProtection="1">
      <alignment horizontal="center" vertical="center" wrapText="1"/>
      <protection locked="0" hidden="1"/>
    </xf>
    <xf numFmtId="174" fontId="27" fillId="5" borderId="5" xfId="2" applyNumberFormat="1" applyFont="1" applyFill="1" applyBorder="1" applyAlignment="1" applyProtection="1">
      <alignment horizontal="center" vertical="center" shrinkToFit="1"/>
      <protection locked="0" hidden="1"/>
    </xf>
    <xf numFmtId="178" fontId="27" fillId="3" borderId="5" xfId="0" applyNumberFormat="1" applyFont="1" applyFill="1" applyBorder="1" applyAlignment="1" applyProtection="1">
      <alignment horizontal="center" vertical="center" shrinkToFit="1"/>
      <protection hidden="1"/>
    </xf>
    <xf numFmtId="0" fontId="27" fillId="2" borderId="5" xfId="0" applyFont="1" applyFill="1" applyBorder="1" applyAlignment="1" applyProtection="1">
      <alignment horizontal="center" vertical="center" shrinkToFit="1"/>
      <protection locked="0" hidden="1"/>
    </xf>
    <xf numFmtId="49" fontId="27" fillId="2" borderId="11" xfId="2" applyNumberFormat="1" applyFont="1" applyFill="1" applyBorder="1" applyAlignment="1" applyProtection="1">
      <alignment horizontal="center" vertical="center" wrapText="1"/>
      <protection locked="0" hidden="1"/>
    </xf>
    <xf numFmtId="172" fontId="27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vertical="center"/>
      <protection hidden="1"/>
    </xf>
    <xf numFmtId="168" fontId="27" fillId="3" borderId="5" xfId="0" applyNumberFormat="1" applyFont="1" applyFill="1" applyBorder="1" applyAlignment="1" applyProtection="1">
      <alignment horizontal="center" vertical="center" shrinkToFit="1"/>
      <protection hidden="1"/>
    </xf>
    <xf numFmtId="0" fontId="28" fillId="0" borderId="8" xfId="0" applyFont="1" applyBorder="1" applyAlignment="1" applyProtection="1">
      <alignment horizontal="center" vertical="center" wrapText="1"/>
      <protection hidden="1"/>
    </xf>
    <xf numFmtId="0" fontId="28" fillId="12" borderId="8" xfId="0" applyFont="1" applyFill="1" applyBorder="1" applyAlignment="1" applyProtection="1">
      <alignment horizontal="center" vertical="center" wrapText="1"/>
      <protection hidden="1"/>
    </xf>
    <xf numFmtId="49" fontId="28" fillId="3" borderId="5" xfId="0" applyNumberFormat="1" applyFont="1" applyFill="1" applyBorder="1" applyAlignment="1" applyProtection="1">
      <alignment horizontal="center" vertical="center" shrinkToFit="1"/>
      <protection hidden="1"/>
    </xf>
    <xf numFmtId="176" fontId="27" fillId="3" borderId="5" xfId="4" applyNumberFormat="1" applyFont="1" applyFill="1" applyBorder="1" applyAlignment="1" applyProtection="1">
      <alignment horizontal="right" vertical="center" shrinkToFit="1"/>
      <protection hidden="1"/>
    </xf>
    <xf numFmtId="10" fontId="27" fillId="3" borderId="5" xfId="3" applyNumberFormat="1" applyFont="1" applyFill="1" applyBorder="1" applyAlignment="1" applyProtection="1">
      <alignment horizontal="center" vertical="center" shrinkToFit="1"/>
      <protection hidden="1"/>
    </xf>
    <xf numFmtId="176" fontId="27" fillId="3" borderId="11" xfId="4" applyNumberFormat="1" applyFont="1" applyFill="1" applyBorder="1" applyAlignment="1" applyProtection="1">
      <alignment horizontal="right" vertical="center" shrinkToFit="1"/>
      <protection hidden="1"/>
    </xf>
    <xf numFmtId="173" fontId="28" fillId="17" borderId="21" xfId="2" applyNumberFormat="1" applyFont="1" applyFill="1" applyBorder="1" applyAlignment="1" applyProtection="1">
      <alignment horizontal="right" vertical="center" shrinkToFit="1"/>
      <protection hidden="1"/>
    </xf>
    <xf numFmtId="10" fontId="28" fillId="17" borderId="21" xfId="3" applyNumberFormat="1" applyFont="1" applyFill="1" applyBorder="1" applyAlignment="1" applyProtection="1">
      <alignment horizontal="center" vertical="center" shrinkToFit="1"/>
      <protection hidden="1"/>
    </xf>
    <xf numFmtId="0" fontId="28" fillId="18" borderId="5" xfId="0" applyFont="1" applyFill="1" applyBorder="1" applyAlignment="1" applyProtection="1">
      <alignment horizontal="center" vertical="center" wrapText="1"/>
      <protection hidden="1"/>
    </xf>
    <xf numFmtId="0" fontId="24" fillId="11" borderId="2" xfId="0" applyFont="1" applyFill="1" applyBorder="1" applyAlignment="1" applyProtection="1">
      <alignment horizontal="left" vertical="center"/>
      <protection hidden="1"/>
    </xf>
    <xf numFmtId="0" fontId="24" fillId="11" borderId="0" xfId="0" applyFont="1" applyFill="1" applyAlignment="1" applyProtection="1">
      <alignment horizontal="center" vertical="center" wrapText="1"/>
      <protection hidden="1"/>
    </xf>
    <xf numFmtId="166" fontId="33" fillId="11" borderId="0" xfId="0" applyNumberFormat="1" applyFont="1" applyFill="1" applyAlignment="1" applyProtection="1">
      <alignment horizontal="center" vertical="center" wrapText="1"/>
      <protection hidden="1"/>
    </xf>
    <xf numFmtId="166" fontId="33" fillId="11" borderId="7" xfId="0" applyNumberFormat="1" applyFont="1" applyFill="1" applyBorder="1" applyAlignment="1" applyProtection="1">
      <alignment horizontal="center" vertical="center" wrapText="1"/>
      <protection hidden="1"/>
    </xf>
    <xf numFmtId="0" fontId="33" fillId="0" borderId="5" xfId="0" applyFont="1" applyBorder="1" applyAlignment="1" applyProtection="1">
      <alignment horizontal="left" vertical="center" wrapText="1"/>
      <protection hidden="1"/>
    </xf>
    <xf numFmtId="173" fontId="33" fillId="3" borderId="5" xfId="2" applyNumberFormat="1" applyFont="1" applyFill="1" applyBorder="1" applyAlignment="1" applyProtection="1">
      <alignment horizontal="center" vertical="center" wrapText="1"/>
      <protection hidden="1"/>
    </xf>
    <xf numFmtId="173" fontId="33" fillId="18" borderId="5" xfId="2" applyNumberFormat="1" applyFont="1" applyFill="1" applyBorder="1" applyAlignment="1" applyProtection="1">
      <alignment horizontal="center" vertical="center" wrapText="1"/>
      <protection hidden="1"/>
    </xf>
    <xf numFmtId="0" fontId="27" fillId="0" borderId="5" xfId="0" applyFont="1" applyBorder="1" applyAlignment="1" applyProtection="1">
      <alignment horizontal="left" vertical="center" wrapText="1"/>
      <protection hidden="1"/>
    </xf>
    <xf numFmtId="0" fontId="28" fillId="13" borderId="5" xfId="0" applyFont="1" applyFill="1" applyBorder="1" applyAlignment="1" applyProtection="1">
      <alignment horizontal="center" vertical="center" wrapText="1"/>
      <protection hidden="1"/>
    </xf>
    <xf numFmtId="173" fontId="33" fillId="3" borderId="8" xfId="2" applyNumberFormat="1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10" fontId="27" fillId="3" borderId="11" xfId="3" applyNumberFormat="1" applyFont="1" applyFill="1" applyBorder="1" applyAlignment="1" applyProtection="1">
      <alignment horizontal="center" vertical="center" shrinkToFit="1"/>
      <protection hidden="1"/>
    </xf>
    <xf numFmtId="0" fontId="28" fillId="15" borderId="5" xfId="5" applyFont="1" applyFill="1" applyBorder="1" applyAlignment="1">
      <alignment horizontal="center" vertical="center" wrapText="1"/>
    </xf>
    <xf numFmtId="180" fontId="27" fillId="3" borderId="0" xfId="2" applyNumberFormat="1" applyFont="1" applyFill="1" applyBorder="1" applyAlignment="1" applyProtection="1">
      <alignment horizontal="center" vertical="center" shrinkToFit="1"/>
      <protection hidden="1"/>
    </xf>
    <xf numFmtId="180" fontId="31" fillId="0" borderId="0" xfId="0" applyNumberFormat="1" applyFont="1" applyAlignment="1" applyProtection="1">
      <alignment vertical="center"/>
      <protection hidden="1"/>
    </xf>
    <xf numFmtId="180" fontId="28" fillId="4" borderId="12" xfId="2" applyNumberFormat="1" applyFont="1" applyFill="1" applyBorder="1" applyAlignment="1" applyProtection="1">
      <alignment horizontal="center" vertical="center" shrinkToFit="1"/>
    </xf>
    <xf numFmtId="5" fontId="27" fillId="2" borderId="5" xfId="2" applyNumberFormat="1" applyFont="1" applyFill="1" applyBorder="1" applyAlignment="1" applyProtection="1">
      <alignment horizontal="center" vertical="center" shrinkToFit="1"/>
      <protection locked="0"/>
    </xf>
    <xf numFmtId="49" fontId="56" fillId="0" borderId="0" xfId="2" applyNumberFormat="1" applyFont="1" applyAlignment="1">
      <alignment horizontal="left" vertical="center" wrapText="1"/>
    </xf>
    <xf numFmtId="49" fontId="57" fillId="0" borderId="0" xfId="0" applyNumberFormat="1" applyFont="1" applyAlignment="1">
      <alignment horizontal="left" vertical="center" wrapText="1"/>
    </xf>
    <xf numFmtId="173" fontId="27" fillId="3" borderId="1" xfId="2" applyNumberFormat="1" applyFont="1" applyFill="1" applyBorder="1" applyAlignment="1" applyProtection="1">
      <alignment horizontal="center" vertical="center"/>
      <protection hidden="1"/>
    </xf>
    <xf numFmtId="173" fontId="27" fillId="3" borderId="6" xfId="2" applyNumberFormat="1" applyFont="1" applyFill="1" applyBorder="1" applyAlignment="1" applyProtection="1">
      <alignment horizontal="center" vertical="center"/>
      <protection hidden="1"/>
    </xf>
    <xf numFmtId="0" fontId="27" fillId="9" borderId="0" xfId="0" applyFont="1" applyFill="1" applyAlignment="1" applyProtection="1">
      <alignment vertical="center"/>
      <protection locked="0"/>
    </xf>
    <xf numFmtId="0" fontId="48" fillId="9" borderId="0" xfId="0" applyFont="1" applyFill="1" applyAlignment="1" applyProtection="1">
      <alignment vertical="center"/>
      <protection hidden="1"/>
    </xf>
    <xf numFmtId="0" fontId="65" fillId="9" borderId="0" xfId="0" applyFont="1" applyFill="1" applyAlignment="1" applyProtection="1">
      <alignment vertical="center"/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0" fillId="0" borderId="0" xfId="0" applyAlignment="1">
      <alignment horizontal="left" vertical="center" wrapText="1"/>
    </xf>
    <xf numFmtId="176" fontId="28" fillId="17" borderId="21" xfId="4" applyNumberFormat="1" applyFont="1" applyFill="1" applyBorder="1" applyAlignment="1" applyProtection="1">
      <alignment horizontal="right" vertical="center" shrinkToFit="1"/>
      <protection hidden="1"/>
    </xf>
    <xf numFmtId="183" fontId="27" fillId="5" borderId="5" xfId="2" applyNumberFormat="1" applyFont="1" applyFill="1" applyBorder="1" applyAlignment="1" applyProtection="1">
      <alignment horizontal="center" vertical="center"/>
      <protection locked="0"/>
    </xf>
    <xf numFmtId="181" fontId="27" fillId="3" borderId="5" xfId="2" applyNumberFormat="1" applyFont="1" applyFill="1" applyBorder="1" applyAlignment="1" applyProtection="1">
      <alignment horizontal="center" vertical="center"/>
      <protection hidden="1"/>
    </xf>
    <xf numFmtId="183" fontId="27" fillId="3" borderId="5" xfId="2" applyNumberFormat="1" applyFont="1" applyFill="1" applyBorder="1" applyAlignment="1" applyProtection="1">
      <alignment horizontal="center" vertical="center"/>
      <protection hidden="1"/>
    </xf>
    <xf numFmtId="0" fontId="28" fillId="12" borderId="5" xfId="5" applyFont="1" applyFill="1" applyBorder="1" applyAlignment="1">
      <alignment horizontal="center" vertical="center" wrapText="1"/>
    </xf>
    <xf numFmtId="49" fontId="61" fillId="0" borderId="0" xfId="5" applyNumberFormat="1" applyFont="1" applyAlignment="1" applyProtection="1">
      <alignment horizontal="left" vertical="center"/>
      <protection hidden="1"/>
    </xf>
    <xf numFmtId="0" fontId="60" fillId="11" borderId="1" xfId="5" applyFont="1" applyFill="1" applyBorder="1" applyAlignment="1" applyProtection="1">
      <alignment horizontal="center" vertical="center" wrapText="1"/>
      <protection hidden="1"/>
    </xf>
    <xf numFmtId="49" fontId="28" fillId="11" borderId="1" xfId="5" applyNumberFormat="1" applyFont="1" applyFill="1" applyBorder="1" applyAlignment="1" applyProtection="1">
      <alignment horizontal="right" vertical="center" wrapText="1"/>
      <protection hidden="1"/>
    </xf>
    <xf numFmtId="0" fontId="25" fillId="11" borderId="10" xfId="5" applyFont="1" applyFill="1" applyBorder="1" applyAlignment="1" applyProtection="1">
      <alignment vertical="center"/>
      <protection hidden="1"/>
    </xf>
    <xf numFmtId="0" fontId="30" fillId="0" borderId="0" xfId="5" applyFont="1" applyAlignment="1" applyProtection="1">
      <alignment vertical="center"/>
      <protection hidden="1"/>
    </xf>
    <xf numFmtId="0" fontId="25" fillId="0" borderId="0" xfId="5" applyFont="1" applyAlignment="1" applyProtection="1">
      <alignment vertical="center"/>
      <protection hidden="1"/>
    </xf>
    <xf numFmtId="0" fontId="31" fillId="0" borderId="0" xfId="5" applyFont="1" applyAlignment="1" applyProtection="1">
      <alignment vertical="center"/>
      <protection hidden="1"/>
    </xf>
    <xf numFmtId="173" fontId="28" fillId="3" borderId="5" xfId="2" applyNumberFormat="1" applyFont="1" applyFill="1" applyBorder="1" applyAlignment="1" applyProtection="1">
      <alignment horizontal="right" vertical="center" wrapText="1"/>
    </xf>
    <xf numFmtId="173" fontId="28" fillId="4" borderId="21" xfId="2" applyNumberFormat="1" applyFont="1" applyFill="1" applyBorder="1" applyAlignment="1" applyProtection="1">
      <alignment horizontal="right" vertical="center" shrinkToFit="1"/>
    </xf>
    <xf numFmtId="0" fontId="28" fillId="0" borderId="11" xfId="5" applyFont="1" applyBorder="1" applyAlignment="1" applyProtection="1">
      <alignment horizontal="center" vertical="center" wrapText="1"/>
      <protection hidden="1"/>
    </xf>
    <xf numFmtId="0" fontId="27" fillId="2" borderId="8" xfId="5" applyFont="1" applyFill="1" applyBorder="1" applyAlignment="1" applyProtection="1">
      <alignment horizontal="center" vertical="center" wrapText="1"/>
      <protection locked="0"/>
    </xf>
    <xf numFmtId="5" fontId="27" fillId="2" borderId="8" xfId="2" applyNumberFormat="1" applyFont="1" applyFill="1" applyBorder="1" applyAlignment="1" applyProtection="1">
      <alignment horizontal="center" vertical="center" wrapText="1"/>
      <protection locked="0"/>
    </xf>
    <xf numFmtId="0" fontId="76" fillId="0" borderId="9" xfId="5" applyFont="1" applyBorder="1" applyAlignment="1" applyProtection="1">
      <alignment vertical="center"/>
      <protection hidden="1"/>
    </xf>
    <xf numFmtId="0" fontId="1" fillId="11" borderId="19" xfId="5" applyFill="1" applyBorder="1" applyProtection="1">
      <protection hidden="1"/>
    </xf>
    <xf numFmtId="0" fontId="31" fillId="11" borderId="19" xfId="5" applyFont="1" applyFill="1" applyBorder="1" applyAlignment="1" applyProtection="1">
      <alignment vertical="center"/>
      <protection hidden="1"/>
    </xf>
    <xf numFmtId="0" fontId="1" fillId="11" borderId="4" xfId="5" applyFill="1" applyBorder="1" applyProtection="1">
      <protection hidden="1"/>
    </xf>
    <xf numFmtId="0" fontId="31" fillId="11" borderId="4" xfId="5" applyFont="1" applyFill="1" applyBorder="1" applyAlignment="1" applyProtection="1">
      <alignment vertical="center"/>
      <protection hidden="1"/>
    </xf>
    <xf numFmtId="0" fontId="28" fillId="0" borderId="11" xfId="5" applyFont="1" applyBorder="1" applyAlignment="1">
      <alignment horizontal="center" vertical="center" wrapText="1"/>
    </xf>
    <xf numFmtId="0" fontId="25" fillId="11" borderId="15" xfId="5" applyFont="1" applyFill="1" applyBorder="1" applyAlignment="1" applyProtection="1">
      <alignment vertical="center"/>
      <protection hidden="1"/>
    </xf>
    <xf numFmtId="0" fontId="27" fillId="2" borderId="5" xfId="5" applyFont="1" applyFill="1" applyBorder="1" applyAlignment="1" applyProtection="1">
      <alignment horizontal="center" vertical="center" wrapText="1"/>
      <protection locked="0"/>
    </xf>
    <xf numFmtId="0" fontId="36" fillId="0" borderId="0" xfId="5" applyFont="1" applyAlignment="1" applyProtection="1">
      <alignment vertical="center"/>
      <protection hidden="1"/>
    </xf>
    <xf numFmtId="0" fontId="51" fillId="0" borderId="0" xfId="5" applyFont="1" applyAlignment="1">
      <alignment horizontal="left" vertical="center"/>
    </xf>
    <xf numFmtId="0" fontId="1" fillId="0" borderId="0" xfId="5" applyProtection="1">
      <protection locked="0"/>
    </xf>
    <xf numFmtId="181" fontId="27" fillId="19" borderId="3" xfId="2" applyNumberFormat="1" applyFont="1" applyFill="1" applyBorder="1" applyAlignment="1" applyProtection="1">
      <alignment horizontal="center" vertical="center" shrinkToFit="1"/>
      <protection hidden="1"/>
    </xf>
    <xf numFmtId="173" fontId="27" fillId="3" borderId="6" xfId="2" applyNumberFormat="1" applyFont="1" applyFill="1" applyBorder="1" applyAlignment="1" applyProtection="1">
      <alignment horizontal="right" vertical="center" shrinkToFit="1"/>
      <protection hidden="1"/>
    </xf>
    <xf numFmtId="0" fontId="76" fillId="11" borderId="0" xfId="5" applyFont="1" applyFill="1" applyProtection="1">
      <protection hidden="1"/>
    </xf>
    <xf numFmtId="173" fontId="27" fillId="3" borderId="5" xfId="2" applyNumberFormat="1" applyFont="1" applyFill="1" applyBorder="1" applyAlignment="1" applyProtection="1">
      <alignment horizontal="right" vertical="center" wrapText="1"/>
      <protection hidden="1"/>
    </xf>
    <xf numFmtId="49" fontId="56" fillId="0" borderId="0" xfId="2" applyNumberFormat="1" applyFont="1" applyFill="1" applyBorder="1" applyAlignment="1" applyProtection="1">
      <alignment horizontal="left" vertical="center"/>
      <protection hidden="1"/>
    </xf>
    <xf numFmtId="166" fontId="35" fillId="0" borderId="0" xfId="5" applyNumberFormat="1" applyFont="1" applyAlignment="1" applyProtection="1">
      <alignment horizontal="left" vertical="center" wrapText="1"/>
      <protection hidden="1"/>
    </xf>
    <xf numFmtId="173" fontId="27" fillId="3" borderId="1" xfId="5" applyNumberFormat="1" applyFont="1" applyFill="1" applyBorder="1" applyAlignment="1" applyProtection="1">
      <alignment horizontal="center" vertical="center" wrapText="1"/>
      <protection hidden="1"/>
    </xf>
    <xf numFmtId="166" fontId="27" fillId="6" borderId="0" xfId="5" applyNumberFormat="1" applyFont="1" applyFill="1" applyAlignment="1" applyProtection="1">
      <alignment horizontal="left" vertical="center"/>
      <protection hidden="1"/>
    </xf>
    <xf numFmtId="166" fontId="27" fillId="0" borderId="0" xfId="5" applyNumberFormat="1" applyFont="1" applyAlignment="1" applyProtection="1">
      <alignment horizontal="center" vertical="center" wrapText="1"/>
      <protection hidden="1"/>
    </xf>
    <xf numFmtId="166" fontId="27" fillId="0" borderId="0" xfId="5" applyNumberFormat="1" applyFont="1" applyAlignment="1" applyProtection="1">
      <alignment horizontal="left" vertical="center"/>
      <protection hidden="1"/>
    </xf>
    <xf numFmtId="0" fontId="24" fillId="0" borderId="3" xfId="5" applyFont="1" applyBorder="1" applyAlignment="1" applyProtection="1">
      <alignment horizontal="center" vertical="center" wrapText="1"/>
      <protection hidden="1"/>
    </xf>
    <xf numFmtId="0" fontId="28" fillId="0" borderId="1" xfId="5" applyFont="1" applyBorder="1" applyAlignment="1" applyProtection="1">
      <alignment horizontal="center" vertical="center" wrapText="1"/>
      <protection hidden="1"/>
    </xf>
    <xf numFmtId="0" fontId="27" fillId="3" borderId="1" xfId="5" applyFont="1" applyFill="1" applyBorder="1" applyAlignment="1" applyProtection="1">
      <alignment horizontal="center" vertical="center" wrapText="1"/>
      <protection hidden="1"/>
    </xf>
    <xf numFmtId="168" fontId="28" fillId="4" borderId="6" xfId="5" applyNumberFormat="1" applyFont="1" applyFill="1" applyBorder="1" applyAlignment="1" applyProtection="1">
      <alignment horizontal="center" vertical="center" shrinkToFit="1"/>
      <protection hidden="1"/>
    </xf>
    <xf numFmtId="169" fontId="28" fillId="0" borderId="2" xfId="5" applyNumberFormat="1" applyFont="1" applyBorder="1" applyAlignment="1" applyProtection="1">
      <alignment horizontal="center" vertical="center" wrapText="1"/>
      <protection hidden="1"/>
    </xf>
    <xf numFmtId="0" fontId="28" fillId="0" borderId="0" xfId="5" applyFont="1" applyAlignment="1" applyProtection="1">
      <alignment horizontal="center" vertical="center" wrapText="1"/>
      <protection hidden="1"/>
    </xf>
    <xf numFmtId="0" fontId="27" fillId="0" borderId="1" xfId="5" applyFont="1" applyBorder="1" applyAlignment="1" applyProtection="1">
      <alignment horizontal="center" vertical="center" wrapText="1"/>
      <protection hidden="1"/>
    </xf>
    <xf numFmtId="0" fontId="27" fillId="0" borderId="0" xfId="5" applyFont="1" applyAlignment="1" applyProtection="1">
      <alignment horizontal="center" vertical="center" wrapText="1"/>
      <protection hidden="1"/>
    </xf>
    <xf numFmtId="0" fontId="27" fillId="0" borderId="0" xfId="5" applyFont="1" applyAlignment="1" applyProtection="1">
      <alignment horizontal="center" vertical="center"/>
      <protection hidden="1"/>
    </xf>
    <xf numFmtId="0" fontId="27" fillId="0" borderId="7" xfId="5" applyFont="1" applyBorder="1" applyAlignment="1" applyProtection="1">
      <alignment horizontal="center" vertical="center"/>
      <protection hidden="1"/>
    </xf>
    <xf numFmtId="1" fontId="27" fillId="3" borderId="1" xfId="5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5" applyFont="1" applyBorder="1" applyAlignment="1" applyProtection="1">
      <alignment horizontal="center" vertical="center"/>
      <protection hidden="1"/>
    </xf>
    <xf numFmtId="0" fontId="27" fillId="0" borderId="6" xfId="5" applyFont="1" applyBorder="1" applyAlignment="1" applyProtection="1">
      <alignment horizontal="center" vertical="center"/>
      <protection hidden="1"/>
    </xf>
    <xf numFmtId="0" fontId="28" fillId="0" borderId="2" xfId="5" applyFont="1" applyBorder="1" applyAlignment="1" applyProtection="1">
      <alignment horizontal="center" vertical="center"/>
      <protection hidden="1"/>
    </xf>
    <xf numFmtId="0" fontId="28" fillId="0" borderId="0" xfId="5" applyFont="1" applyAlignment="1" applyProtection="1">
      <alignment horizontal="center" vertical="center"/>
      <protection hidden="1"/>
    </xf>
    <xf numFmtId="0" fontId="28" fillId="0" borderId="2" xfId="5" applyFont="1" applyBorder="1" applyAlignment="1" applyProtection="1">
      <alignment horizontal="center" vertical="center" wrapText="1"/>
      <protection hidden="1"/>
    </xf>
    <xf numFmtId="0" fontId="27" fillId="0" borderId="3" xfId="5" applyFont="1" applyBorder="1" applyAlignment="1" applyProtection="1">
      <alignment horizontal="center" vertical="center" wrapText="1"/>
      <protection hidden="1"/>
    </xf>
    <xf numFmtId="166" fontId="27" fillId="0" borderId="1" xfId="5" applyNumberFormat="1" applyFont="1" applyBorder="1" applyAlignment="1" applyProtection="1">
      <alignment horizontal="center" vertical="center" wrapText="1"/>
      <protection hidden="1"/>
    </xf>
    <xf numFmtId="0" fontId="15" fillId="6" borderId="0" xfId="5" applyFont="1" applyFill="1" applyAlignment="1" applyProtection="1">
      <alignment horizontal="left" vertical="center"/>
      <protection hidden="1"/>
    </xf>
    <xf numFmtId="173" fontId="27" fillId="3" borderId="5" xfId="2" applyNumberFormat="1" applyFont="1" applyFill="1" applyBorder="1" applyAlignment="1" applyProtection="1">
      <alignment horizontal="right" vertical="center" shrinkToFit="1"/>
      <protection hidden="1"/>
    </xf>
    <xf numFmtId="0" fontId="28" fillId="15" borderId="6" xfId="5" applyFont="1" applyFill="1" applyBorder="1" applyAlignment="1">
      <alignment horizontal="center" vertical="center" wrapText="1"/>
    </xf>
    <xf numFmtId="173" fontId="28" fillId="16" borderId="21" xfId="2" applyNumberFormat="1" applyFont="1" applyFill="1" applyBorder="1" applyAlignment="1" applyProtection="1">
      <alignment horizontal="right" vertical="center" shrinkToFit="1"/>
      <protection hidden="1"/>
    </xf>
    <xf numFmtId="10" fontId="27" fillId="3" borderId="5" xfId="3" applyNumberFormat="1" applyFont="1" applyFill="1" applyBorder="1" applyAlignment="1" applyProtection="1">
      <alignment horizontal="center" vertical="center" wrapText="1"/>
      <protection hidden="1"/>
    </xf>
    <xf numFmtId="10" fontId="27" fillId="3" borderId="11" xfId="3" applyNumberFormat="1" applyFont="1" applyFill="1" applyBorder="1" applyAlignment="1" applyProtection="1">
      <alignment horizontal="center" vertical="center" wrapText="1"/>
      <protection hidden="1"/>
    </xf>
    <xf numFmtId="10" fontId="28" fillId="16" borderId="21" xfId="3" applyNumberFormat="1" applyFont="1" applyFill="1" applyBorder="1" applyAlignment="1" applyProtection="1">
      <alignment horizontal="center" vertical="center" shrinkToFit="1"/>
      <protection hidden="1"/>
    </xf>
    <xf numFmtId="173" fontId="28" fillId="16" borderId="21" xfId="2" applyNumberFormat="1" applyFont="1" applyFill="1" applyBorder="1" applyAlignment="1" applyProtection="1">
      <alignment horizontal="right" vertical="center" shrinkToFit="1"/>
    </xf>
    <xf numFmtId="0" fontId="77" fillId="9" borderId="0" xfId="5" applyFont="1" applyFill="1" applyAlignment="1" applyProtection="1">
      <alignment vertical="center" wrapText="1"/>
      <protection hidden="1"/>
    </xf>
    <xf numFmtId="0" fontId="40" fillId="18" borderId="5" xfId="5" applyFont="1" applyFill="1" applyBorder="1" applyAlignment="1" applyProtection="1">
      <alignment horizontal="center" vertical="center" wrapText="1"/>
      <protection hidden="1"/>
    </xf>
    <xf numFmtId="0" fontId="15" fillId="6" borderId="4" xfId="5" applyFont="1" applyFill="1" applyBorder="1" applyAlignment="1">
      <alignment horizontal="left" vertical="center"/>
    </xf>
    <xf numFmtId="0" fontId="1" fillId="6" borderId="4" xfId="5" applyFill="1" applyBorder="1"/>
    <xf numFmtId="0" fontId="15" fillId="6" borderId="0" xfId="5" applyFont="1" applyFill="1" applyAlignment="1">
      <alignment vertical="center"/>
    </xf>
    <xf numFmtId="0" fontId="1" fillId="6" borderId="0" xfId="5" applyFill="1" applyAlignment="1">
      <alignment vertical="center"/>
    </xf>
    <xf numFmtId="0" fontId="78" fillId="0" borderId="0" xfId="2" applyNumberFormat="1" applyFont="1" applyFill="1" applyAlignment="1" applyProtection="1">
      <alignment horizontal="left" vertical="center" wrapText="1"/>
      <protection hidden="1"/>
    </xf>
    <xf numFmtId="0" fontId="27" fillId="0" borderId="0" xfId="5" applyFont="1" applyAlignment="1">
      <alignment vertical="center"/>
    </xf>
    <xf numFmtId="0" fontId="27" fillId="0" borderId="0" xfId="5" applyFont="1" applyAlignment="1" applyProtection="1">
      <alignment vertical="center"/>
      <protection locked="0"/>
    </xf>
    <xf numFmtId="0" fontId="33" fillId="0" borderId="0" xfId="5" applyFont="1" applyAlignment="1" applyProtection="1">
      <alignment vertical="center"/>
      <protection locked="0"/>
    </xf>
    <xf numFmtId="0" fontId="28" fillId="8" borderId="5" xfId="5" applyFont="1" applyFill="1" applyBorder="1" applyAlignment="1">
      <alignment horizontal="center" vertical="center" wrapText="1"/>
    </xf>
    <xf numFmtId="181" fontId="27" fillId="5" borderId="8" xfId="2" applyNumberFormat="1" applyFont="1" applyFill="1" applyBorder="1" applyAlignment="1" applyProtection="1">
      <alignment horizontal="right" vertical="center" wrapText="1"/>
      <protection locked="0"/>
    </xf>
    <xf numFmtId="181" fontId="27" fillId="5" borderId="5" xfId="2" applyNumberFormat="1" applyFont="1" applyFill="1" applyBorder="1" applyAlignment="1" applyProtection="1">
      <alignment horizontal="right" vertical="center" wrapText="1"/>
      <protection locked="0"/>
    </xf>
    <xf numFmtId="0" fontId="28" fillId="0" borderId="5" xfId="5" applyFont="1" applyBorder="1" applyAlignment="1" applyProtection="1">
      <alignment horizontal="center" vertical="center" wrapText="1"/>
      <protection hidden="1"/>
    </xf>
    <xf numFmtId="0" fontId="24" fillId="0" borderId="5" xfId="5" applyFont="1" applyBorder="1" applyAlignment="1">
      <alignment horizontal="center" vertical="center" wrapText="1"/>
    </xf>
    <xf numFmtId="5" fontId="27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33" fillId="2" borderId="5" xfId="5" applyFont="1" applyFill="1" applyBorder="1" applyAlignment="1" applyProtection="1">
      <alignment horizontal="center" vertical="center" shrinkToFit="1"/>
      <protection locked="0"/>
    </xf>
    <xf numFmtId="0" fontId="28" fillId="0" borderId="5" xfId="5" applyFont="1" applyBorder="1" applyAlignment="1">
      <alignment horizontal="center" vertical="center" wrapText="1"/>
    </xf>
    <xf numFmtId="0" fontId="30" fillId="0" borderId="0" xfId="5" applyFont="1" applyAlignment="1">
      <alignment vertical="center"/>
    </xf>
    <xf numFmtId="0" fontId="25" fillId="0" borderId="0" xfId="5" applyFont="1" applyAlignment="1">
      <alignment vertical="center"/>
    </xf>
    <xf numFmtId="0" fontId="24" fillId="0" borderId="11" xfId="5" applyFont="1" applyBorder="1" applyAlignment="1">
      <alignment horizontal="center" vertical="center" wrapText="1"/>
    </xf>
    <xf numFmtId="0" fontId="31" fillId="0" borderId="0" xfId="5" applyFont="1" applyAlignment="1">
      <alignment vertical="center"/>
    </xf>
    <xf numFmtId="0" fontId="76" fillId="11" borderId="9" xfId="5" applyFont="1" applyFill="1" applyBorder="1" applyAlignment="1" applyProtection="1">
      <alignment vertical="center"/>
      <protection hidden="1"/>
    </xf>
    <xf numFmtId="0" fontId="81" fillId="11" borderId="13" xfId="5" applyFont="1" applyFill="1" applyBorder="1" applyAlignment="1" applyProtection="1">
      <alignment vertical="center"/>
      <protection hidden="1"/>
    </xf>
    <xf numFmtId="0" fontId="36" fillId="0" borderId="0" xfId="11" applyFont="1" applyAlignment="1" applyProtection="1">
      <alignment vertical="center"/>
      <protection hidden="1"/>
    </xf>
    <xf numFmtId="0" fontId="30" fillId="0" borderId="0" xfId="11" applyFont="1" applyAlignment="1" applyProtection="1">
      <alignment vertical="center"/>
      <protection hidden="1"/>
    </xf>
    <xf numFmtId="0" fontId="5" fillId="6" borderId="0" xfId="5" applyFont="1" applyFill="1" applyAlignment="1" applyProtection="1">
      <alignment vertical="center" wrapText="1"/>
      <protection hidden="1"/>
    </xf>
    <xf numFmtId="165" fontId="33" fillId="6" borderId="4" xfId="2" applyFont="1" applyFill="1" applyBorder="1" applyAlignment="1" applyProtection="1">
      <alignment vertical="center" wrapText="1"/>
    </xf>
    <xf numFmtId="0" fontId="47" fillId="6" borderId="4" xfId="5" applyFont="1" applyFill="1" applyBorder="1" applyAlignment="1">
      <alignment horizontal="left" vertical="center"/>
    </xf>
    <xf numFmtId="0" fontId="24" fillId="6" borderId="4" xfId="5" applyFont="1" applyFill="1" applyBorder="1" applyAlignment="1">
      <alignment wrapText="1"/>
    </xf>
    <xf numFmtId="0" fontId="24" fillId="6" borderId="4" xfId="5" applyFont="1" applyFill="1" applyBorder="1"/>
    <xf numFmtId="0" fontId="1" fillId="6" borderId="0" xfId="5" applyFill="1"/>
    <xf numFmtId="0" fontId="24" fillId="6" borderId="0" xfId="5" applyFont="1" applyFill="1"/>
    <xf numFmtId="0" fontId="30" fillId="6" borderId="0" xfId="0" applyFont="1" applyFill="1" applyAlignment="1" applyProtection="1">
      <alignment vertical="center"/>
      <protection hidden="1"/>
    </xf>
    <xf numFmtId="0" fontId="48" fillId="0" borderId="0" xfId="0" applyFont="1" applyAlignment="1" applyProtection="1">
      <alignment vertical="center" wrapText="1"/>
      <protection hidden="1"/>
    </xf>
    <xf numFmtId="0" fontId="69" fillId="0" borderId="0" xfId="0" applyFont="1" applyAlignment="1" applyProtection="1">
      <alignment vertical="center"/>
      <protection hidden="1"/>
    </xf>
    <xf numFmtId="0" fontId="28" fillId="0" borderId="8" xfId="5" applyFont="1" applyBorder="1" applyAlignment="1" applyProtection="1">
      <alignment horizontal="center" vertical="center" wrapText="1"/>
      <protection hidden="1"/>
    </xf>
    <xf numFmtId="0" fontId="28" fillId="15" borderId="5" xfId="11" applyFont="1" applyFill="1" applyBorder="1" applyAlignment="1">
      <alignment horizontal="center" vertical="center" wrapText="1"/>
    </xf>
    <xf numFmtId="176" fontId="28" fillId="2" borderId="5" xfId="2" applyNumberFormat="1" applyFont="1" applyFill="1" applyBorder="1" applyAlignment="1" applyProtection="1">
      <alignment horizontal="center" vertical="center" shrinkToFit="1"/>
      <protection locked="0"/>
    </xf>
    <xf numFmtId="181" fontId="27" fillId="3" borderId="5" xfId="2" applyNumberFormat="1" applyFont="1" applyFill="1" applyBorder="1" applyAlignment="1" applyProtection="1">
      <alignment horizontal="right" vertical="center"/>
      <protection hidden="1"/>
    </xf>
    <xf numFmtId="179" fontId="27" fillId="3" borderId="5" xfId="2" applyNumberFormat="1" applyFont="1" applyFill="1" applyBorder="1" applyAlignment="1" applyProtection="1">
      <alignment horizontal="right" vertical="center"/>
      <protection hidden="1"/>
    </xf>
    <xf numFmtId="0" fontId="24" fillId="0" borderId="3" xfId="5" applyFont="1" applyBorder="1" applyAlignment="1" applyProtection="1">
      <alignment horizontal="center" vertical="center" shrinkToFit="1"/>
      <protection hidden="1"/>
    </xf>
    <xf numFmtId="181" fontId="27" fillId="3" borderId="1" xfId="5" applyNumberFormat="1" applyFont="1" applyFill="1" applyBorder="1" applyAlignment="1" applyProtection="1">
      <alignment horizontal="center" vertical="center" shrinkToFit="1"/>
      <protection hidden="1"/>
    </xf>
    <xf numFmtId="0" fontId="28" fillId="0" borderId="1" xfId="5" applyFont="1" applyBorder="1" applyAlignment="1" applyProtection="1">
      <alignment horizontal="center" vertical="center" shrinkToFit="1"/>
      <protection hidden="1"/>
    </xf>
    <xf numFmtId="0" fontId="27" fillId="3" borderId="1" xfId="5" applyFont="1" applyFill="1" applyBorder="1" applyAlignment="1" applyProtection="1">
      <alignment horizontal="center" vertical="center" shrinkToFit="1"/>
      <protection hidden="1"/>
    </xf>
    <xf numFmtId="178" fontId="28" fillId="4" borderId="5" xfId="5" applyNumberFormat="1" applyFont="1" applyFill="1" applyBorder="1" applyAlignment="1" applyProtection="1">
      <alignment horizontal="center" vertical="center" shrinkToFit="1"/>
      <protection hidden="1"/>
    </xf>
    <xf numFmtId="0" fontId="27" fillId="0" borderId="0" xfId="5" applyFont="1" applyAlignment="1">
      <alignment vertical="center" shrinkToFit="1"/>
    </xf>
    <xf numFmtId="0" fontId="27" fillId="0" borderId="0" xfId="5" applyFont="1" applyAlignment="1" applyProtection="1">
      <alignment vertical="center" shrinkToFit="1"/>
      <protection locked="0"/>
    </xf>
    <xf numFmtId="0" fontId="33" fillId="0" borderId="0" xfId="5" applyFont="1" applyAlignment="1" applyProtection="1">
      <alignment vertical="center" shrinkToFit="1"/>
      <protection locked="0"/>
    </xf>
    <xf numFmtId="1" fontId="27" fillId="3" borderId="1" xfId="5" applyNumberFormat="1" applyFont="1" applyFill="1" applyBorder="1" applyAlignment="1" applyProtection="1">
      <alignment horizontal="center" vertical="center" shrinkToFit="1"/>
      <protection hidden="1"/>
    </xf>
    <xf numFmtId="0" fontId="27" fillId="0" borderId="1" xfId="5" applyFont="1" applyBorder="1" applyAlignment="1" applyProtection="1">
      <alignment horizontal="center" vertical="center" shrinkToFit="1"/>
      <protection hidden="1"/>
    </xf>
    <xf numFmtId="0" fontId="27" fillId="0" borderId="6" xfId="5" applyFont="1" applyBorder="1" applyAlignment="1" applyProtection="1">
      <alignment horizontal="center" vertical="center" shrinkToFit="1"/>
      <protection hidden="1"/>
    </xf>
    <xf numFmtId="181" fontId="27" fillId="3" borderId="1" xfId="5" applyNumberFormat="1" applyFont="1" applyFill="1" applyBorder="1" applyAlignment="1" applyProtection="1">
      <alignment horizontal="center" vertical="center" wrapText="1" shrinkToFit="1"/>
      <protection hidden="1"/>
    </xf>
    <xf numFmtId="0" fontId="40" fillId="18" borderId="5" xfId="11" applyFont="1" applyFill="1" applyBorder="1" applyAlignment="1" applyProtection="1">
      <alignment horizontal="center" vertical="center" wrapText="1"/>
      <protection hidden="1"/>
    </xf>
    <xf numFmtId="181" fontId="27" fillId="19" borderId="5" xfId="2" applyNumberFormat="1" applyFont="1" applyFill="1" applyBorder="1" applyAlignment="1" applyProtection="1">
      <alignment horizontal="right" vertical="center" shrinkToFit="1"/>
      <protection hidden="1"/>
    </xf>
    <xf numFmtId="181" fontId="33" fillId="19" borderId="8" xfId="2" applyNumberFormat="1" applyFont="1" applyFill="1" applyBorder="1" applyAlignment="1" applyProtection="1">
      <alignment horizontal="right" vertical="center" shrinkToFit="1"/>
      <protection hidden="1"/>
    </xf>
    <xf numFmtId="181" fontId="33" fillId="19" borderId="22" xfId="2" applyNumberFormat="1" applyFont="1" applyFill="1" applyBorder="1" applyAlignment="1" applyProtection="1">
      <alignment horizontal="right" vertical="center" shrinkToFit="1"/>
      <protection hidden="1"/>
    </xf>
    <xf numFmtId="181" fontId="24" fillId="17" borderId="21" xfId="2" applyNumberFormat="1" applyFont="1" applyFill="1" applyBorder="1" applyAlignment="1" applyProtection="1">
      <alignment horizontal="right" vertical="center" shrinkToFit="1"/>
      <protection hidden="1"/>
    </xf>
    <xf numFmtId="180" fontId="27" fillId="5" borderId="5" xfId="2" applyNumberFormat="1" applyFont="1" applyFill="1" applyBorder="1" applyAlignment="1" applyProtection="1">
      <alignment horizontal="right" vertical="center" shrinkToFit="1"/>
      <protection locked="0" hidden="1"/>
    </xf>
    <xf numFmtId="5" fontId="27" fillId="19" borderId="5" xfId="2" applyNumberFormat="1" applyFont="1" applyFill="1" applyBorder="1" applyAlignment="1" applyProtection="1">
      <alignment horizontal="right" vertical="center" shrinkToFit="1"/>
    </xf>
    <xf numFmtId="180" fontId="27" fillId="5" borderId="11" xfId="2" applyNumberFormat="1" applyFont="1" applyFill="1" applyBorder="1" applyAlignment="1" applyProtection="1">
      <alignment horizontal="right" vertical="center" shrinkToFit="1"/>
      <protection locked="0" hidden="1"/>
    </xf>
    <xf numFmtId="180" fontId="27" fillId="3" borderId="6" xfId="2" applyNumberFormat="1" applyFont="1" applyFill="1" applyBorder="1" applyAlignment="1" applyProtection="1">
      <alignment horizontal="center" vertical="center" shrinkToFit="1"/>
      <protection hidden="1"/>
    </xf>
    <xf numFmtId="0" fontId="31" fillId="9" borderId="0" xfId="0" applyFont="1" applyFill="1" applyAlignment="1" applyProtection="1">
      <alignment vertical="center"/>
      <protection hidden="1"/>
    </xf>
    <xf numFmtId="0" fontId="48" fillId="9" borderId="0" xfId="0" applyFont="1" applyFill="1" applyAlignment="1" applyProtection="1">
      <alignment vertical="center" wrapText="1"/>
      <protection locked="0"/>
    </xf>
    <xf numFmtId="0" fontId="48" fillId="9" borderId="0" xfId="0" applyFont="1" applyFill="1" applyAlignment="1" applyProtection="1">
      <alignment vertical="center" wrapText="1"/>
      <protection hidden="1"/>
    </xf>
    <xf numFmtId="0" fontId="33" fillId="9" borderId="0" xfId="5" applyFont="1" applyFill="1" applyAlignment="1" applyProtection="1">
      <alignment vertical="center"/>
      <protection hidden="1"/>
    </xf>
    <xf numFmtId="0" fontId="48" fillId="9" borderId="0" xfId="5" applyFont="1" applyFill="1" applyAlignment="1" applyProtection="1">
      <alignment vertical="center"/>
      <protection locked="0" hidden="1"/>
    </xf>
    <xf numFmtId="176" fontId="28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68" fillId="0" borderId="0" xfId="2" applyNumberFormat="1" applyFont="1" applyFill="1" applyBorder="1" applyAlignment="1" applyProtection="1">
      <alignment horizontal="left" vertical="center"/>
      <protection hidden="1"/>
    </xf>
    <xf numFmtId="165" fontId="25" fillId="0" borderId="0" xfId="2" applyFont="1" applyFill="1" applyBorder="1" applyAlignment="1" applyProtection="1">
      <alignment horizontal="left" vertical="center"/>
    </xf>
    <xf numFmtId="167" fontId="85" fillId="0" borderId="0" xfId="3" applyNumberFormat="1" applyFont="1" applyFill="1" applyBorder="1" applyAlignment="1" applyProtection="1">
      <alignment vertical="center" wrapText="1"/>
    </xf>
    <xf numFmtId="0" fontId="86" fillId="0" borderId="0" xfId="5" applyFont="1" applyAlignment="1" applyProtection="1">
      <alignment horizontal="left" vertical="center"/>
      <protection hidden="1"/>
    </xf>
    <xf numFmtId="0" fontId="31" fillId="0" borderId="0" xfId="5" applyFont="1" applyAlignment="1">
      <alignment horizontal="center" vertical="center"/>
    </xf>
    <xf numFmtId="0" fontId="88" fillId="0" borderId="0" xfId="5" applyFont="1" applyAlignment="1">
      <alignment horizontal="left" vertical="center"/>
    </xf>
    <xf numFmtId="0" fontId="37" fillId="0" borderId="0" xfId="5" applyFont="1" applyAlignment="1">
      <alignment horizontal="center" vertical="center"/>
    </xf>
    <xf numFmtId="0" fontId="4" fillId="0" borderId="0" xfId="5" applyFont="1"/>
    <xf numFmtId="0" fontId="25" fillId="0" borderId="0" xfId="5" applyFont="1" applyAlignment="1" applyProtection="1">
      <alignment vertical="center"/>
      <protection locked="0"/>
    </xf>
    <xf numFmtId="0" fontId="31" fillId="0" borderId="0" xfId="5" applyFont="1" applyAlignment="1" applyProtection="1">
      <alignment vertical="center"/>
      <protection locked="0"/>
    </xf>
    <xf numFmtId="181" fontId="33" fillId="19" borderId="5" xfId="2" applyNumberFormat="1" applyFont="1" applyFill="1" applyBorder="1" applyAlignment="1" applyProtection="1">
      <alignment horizontal="right" vertical="center" shrinkToFit="1"/>
      <protection hidden="1"/>
    </xf>
    <xf numFmtId="0" fontId="89" fillId="0" borderId="0" xfId="0" applyFont="1" applyAlignment="1">
      <alignment vertical="center"/>
    </xf>
    <xf numFmtId="173" fontId="27" fillId="5" borderId="5" xfId="2" applyNumberFormat="1" applyFont="1" applyFill="1" applyBorder="1" applyAlignment="1" applyProtection="1">
      <alignment horizontal="right" vertical="center" shrinkToFit="1"/>
      <protection locked="0"/>
    </xf>
    <xf numFmtId="180" fontId="27" fillId="2" borderId="8" xfId="2" applyNumberFormat="1" applyFont="1" applyFill="1" applyBorder="1" applyAlignment="1" applyProtection="1">
      <alignment horizontal="right" vertical="center" shrinkToFit="1"/>
      <protection locked="0"/>
    </xf>
    <xf numFmtId="0" fontId="86" fillId="0" borderId="0" xfId="5" applyFont="1"/>
    <xf numFmtId="0" fontId="82" fillId="0" borderId="3" xfId="0" applyFont="1" applyBorder="1" applyAlignment="1">
      <alignment vertical="center" wrapText="1"/>
    </xf>
    <xf numFmtId="0" fontId="73" fillId="0" borderId="3" xfId="0" applyFont="1" applyBorder="1" applyAlignment="1">
      <alignment vertical="center" wrapText="1"/>
    </xf>
    <xf numFmtId="0" fontId="49" fillId="0" borderId="3" xfId="0" applyFont="1" applyBorder="1" applyAlignment="1">
      <alignment vertical="center" wrapText="1"/>
    </xf>
    <xf numFmtId="0" fontId="27" fillId="0" borderId="0" xfId="5" applyFont="1" applyAlignment="1" applyProtection="1">
      <alignment vertical="center"/>
      <protection hidden="1"/>
    </xf>
    <xf numFmtId="173" fontId="33" fillId="3" borderId="5" xfId="2" applyNumberFormat="1" applyFont="1" applyFill="1" applyBorder="1" applyAlignment="1" applyProtection="1">
      <alignment horizontal="right" vertical="center" shrinkToFit="1"/>
    </xf>
    <xf numFmtId="0" fontId="46" fillId="2" borderId="9" xfId="0" applyFont="1" applyFill="1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10" xfId="0" applyBorder="1"/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5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5" fillId="7" borderId="16" xfId="0" applyFont="1" applyFill="1" applyBorder="1" applyAlignment="1">
      <alignment horizontal="center" vertical="center" wrapText="1"/>
    </xf>
    <xf numFmtId="0" fontId="28" fillId="10" borderId="3" xfId="0" applyFont="1" applyFill="1" applyBorder="1" applyAlignment="1">
      <alignment horizontal="left" vertical="center" wrapText="1"/>
    </xf>
    <xf numFmtId="0" fontId="28" fillId="10" borderId="6" xfId="0" applyFont="1" applyFill="1" applyBorder="1" applyAlignment="1">
      <alignment vertical="center" wrapText="1"/>
    </xf>
    <xf numFmtId="170" fontId="42" fillId="2" borderId="16" xfId="0" applyNumberFormat="1" applyFont="1" applyFill="1" applyBorder="1" applyAlignment="1" applyProtection="1">
      <alignment horizontal="center" vertical="center" wrapText="1"/>
      <protection locked="0"/>
    </xf>
    <xf numFmtId="170" fontId="4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14" xfId="0" applyFont="1" applyFill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6" xfId="0" applyFont="1" applyBorder="1" applyAlignment="1">
      <alignment horizontal="right" vertical="center" wrapText="1"/>
    </xf>
    <xf numFmtId="0" fontId="42" fillId="2" borderId="16" xfId="0" applyFont="1" applyFill="1" applyBorder="1" applyAlignment="1" applyProtection="1">
      <alignment horizontal="center" vertical="center" wrapText="1"/>
      <protection locked="0"/>
    </xf>
    <xf numFmtId="0" fontId="42" fillId="2" borderId="20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71" fontId="28" fillId="0" borderId="19" xfId="2" applyNumberFormat="1" applyFont="1" applyFill="1" applyBorder="1" applyAlignment="1" applyProtection="1">
      <alignment horizontal="right" vertical="center" wrapText="1"/>
    </xf>
    <xf numFmtId="0" fontId="28" fillId="10" borderId="3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8" fillId="0" borderId="1" xfId="5" applyFont="1" applyBorder="1" applyAlignment="1" applyProtection="1">
      <alignment horizontal="right" vertical="center" wrapText="1"/>
      <protection hidden="1"/>
    </xf>
    <xf numFmtId="0" fontId="32" fillId="0" borderId="3" xfId="0" applyFont="1" applyBorder="1" applyAlignment="1">
      <alignment horizontal="center" vertical="center" wrapText="1"/>
    </xf>
    <xf numFmtId="0" fontId="24" fillId="0" borderId="3" xfId="0" applyFont="1" applyBorder="1" applyAlignment="1" applyProtection="1">
      <alignment horizontal="center" vertical="center"/>
      <protection hidden="1"/>
    </xf>
    <xf numFmtId="0" fontId="0" fillId="0" borderId="6" xfId="0" applyBorder="1" applyAlignment="1">
      <alignment horizontal="center" vertical="center"/>
    </xf>
    <xf numFmtId="2" fontId="33" fillId="0" borderId="3" xfId="0" applyNumberFormat="1" applyFont="1" applyBorder="1" applyAlignment="1" applyProtection="1">
      <alignment horizontal="center" vertical="center" wrapText="1"/>
      <protection hidden="1"/>
    </xf>
    <xf numFmtId="0" fontId="24" fillId="13" borderId="3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24" fillId="14" borderId="3" xfId="0" applyFont="1" applyFill="1" applyBorder="1" applyAlignment="1" applyProtection="1">
      <alignment horizontal="center" vertical="center" wrapText="1"/>
      <protection hidden="1"/>
    </xf>
    <xf numFmtId="0" fontId="24" fillId="12" borderId="3" xfId="0" applyFont="1" applyFill="1" applyBorder="1" applyAlignment="1" applyProtection="1">
      <alignment horizontal="center" vertical="center" wrapText="1"/>
      <protection hidden="1"/>
    </xf>
    <xf numFmtId="0" fontId="70" fillId="0" borderId="3" xfId="5" applyFont="1" applyBorder="1" applyAlignment="1">
      <alignment horizontal="right" vertical="center" wrapText="1"/>
    </xf>
    <xf numFmtId="0" fontId="70" fillId="0" borderId="1" xfId="5" applyFont="1" applyBorder="1" applyAlignment="1">
      <alignment horizontal="right" vertical="center" wrapText="1"/>
    </xf>
    <xf numFmtId="0" fontId="70" fillId="0" borderId="6" xfId="5" applyFont="1" applyBorder="1" applyAlignment="1">
      <alignment horizontal="right" vertical="center" wrapText="1"/>
    </xf>
    <xf numFmtId="0" fontId="70" fillId="0" borderId="5" xfId="5" applyFont="1" applyBorder="1" applyAlignment="1">
      <alignment horizontal="right" vertical="center" wrapText="1"/>
    </xf>
    <xf numFmtId="0" fontId="76" fillId="11" borderId="9" xfId="5" applyFont="1" applyFill="1" applyBorder="1" applyAlignment="1" applyProtection="1">
      <alignment horizontal="center" vertical="center" wrapText="1"/>
      <protection hidden="1"/>
    </xf>
    <xf numFmtId="0" fontId="76" fillId="0" borderId="10" xfId="5" applyFont="1" applyBorder="1" applyAlignment="1">
      <alignment horizontal="center" vertical="center" wrapText="1"/>
    </xf>
    <xf numFmtId="0" fontId="76" fillId="0" borderId="13" xfId="5" applyFont="1" applyBorder="1" applyAlignment="1">
      <alignment horizontal="center" vertical="center" wrapText="1"/>
    </xf>
    <xf numFmtId="0" fontId="76" fillId="0" borderId="15" xfId="5" applyFont="1" applyBorder="1" applyAlignment="1">
      <alignment horizontal="center" vertical="center" wrapText="1"/>
    </xf>
    <xf numFmtId="0" fontId="49" fillId="0" borderId="3" xfId="0" applyFont="1" applyBorder="1" applyAlignment="1">
      <alignment horizontal="left" vertical="center" wrapText="1"/>
    </xf>
    <xf numFmtId="0" fontId="49" fillId="0" borderId="6" xfId="0" applyFont="1" applyBorder="1" applyAlignment="1">
      <alignment horizontal="left" vertical="center" wrapText="1"/>
    </xf>
    <xf numFmtId="0" fontId="29" fillId="7" borderId="0" xfId="5" applyFont="1" applyFill="1" applyAlignment="1">
      <alignment horizontal="center" vertical="center" wrapText="1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42" fillId="2" borderId="24" xfId="0" applyFont="1" applyFill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>
      <alignment horizontal="right" vertical="center" wrapText="1"/>
    </xf>
    <xf numFmtId="170" fontId="42" fillId="2" borderId="14" xfId="0" applyNumberFormat="1" applyFont="1" applyFill="1" applyBorder="1" applyAlignment="1" applyProtection="1">
      <alignment horizontal="center" vertical="center" wrapText="1"/>
      <protection locked="0"/>
    </xf>
    <xf numFmtId="170" fontId="4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4" fillId="10" borderId="3" xfId="0" applyFont="1" applyFill="1" applyBorder="1" applyAlignment="1">
      <alignment horizontal="left" vertical="center"/>
    </xf>
    <xf numFmtId="0" fontId="28" fillId="10" borderId="6" xfId="0" applyFont="1" applyFill="1" applyBorder="1" applyAlignment="1">
      <alignment horizontal="left" vertical="center"/>
    </xf>
    <xf numFmtId="0" fontId="23" fillId="0" borderId="11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7" fillId="6" borderId="0" xfId="0" applyFont="1" applyFill="1" applyAlignment="1" applyProtection="1">
      <alignment vertical="center" wrapText="1"/>
      <protection hidden="1"/>
    </xf>
    <xf numFmtId="0" fontId="50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6" xfId="5" applyBorder="1" applyAlignment="1" applyProtection="1">
      <alignment horizontal="right" vertical="center"/>
      <protection hidden="1"/>
    </xf>
    <xf numFmtId="0" fontId="24" fillId="0" borderId="3" xfId="0" applyFont="1" applyBorder="1" applyAlignment="1">
      <alignment horizontal="right" vertical="center" wrapText="1"/>
    </xf>
    <xf numFmtId="0" fontId="66" fillId="0" borderId="3" xfId="0" applyFont="1" applyBorder="1" applyAlignment="1">
      <alignment horizontal="left" vertical="center" wrapText="1"/>
    </xf>
    <xf numFmtId="0" fontId="66" fillId="0" borderId="6" xfId="0" applyFont="1" applyBorder="1" applyAlignment="1">
      <alignment horizontal="left" vertical="center" wrapText="1"/>
    </xf>
    <xf numFmtId="2" fontId="33" fillId="0" borderId="5" xfId="5" applyNumberFormat="1" applyFont="1" applyBorder="1" applyAlignment="1" applyProtection="1">
      <alignment horizontal="center" vertical="center" wrapText="1"/>
      <protection hidden="1"/>
    </xf>
    <xf numFmtId="0" fontId="1" fillId="0" borderId="5" xfId="5" applyBorder="1" applyAlignment="1">
      <alignment horizontal="center" vertical="center" wrapText="1"/>
    </xf>
    <xf numFmtId="0" fontId="24" fillId="20" borderId="5" xfId="5" applyFont="1" applyFill="1" applyBorder="1" applyAlignment="1" applyProtection="1">
      <alignment horizontal="center" vertical="center" wrapText="1"/>
      <protection hidden="1"/>
    </xf>
    <xf numFmtId="0" fontId="1" fillId="20" borderId="5" xfId="5" applyFill="1" applyBorder="1" applyAlignment="1" applyProtection="1">
      <alignment vertical="center"/>
      <protection hidden="1"/>
    </xf>
    <xf numFmtId="0" fontId="70" fillId="0" borderId="13" xfId="5" applyFont="1" applyBorder="1" applyAlignment="1">
      <alignment horizontal="right" vertical="center" wrapText="1"/>
    </xf>
    <xf numFmtId="0" fontId="1" fillId="0" borderId="4" xfId="5" applyBorder="1" applyAlignment="1">
      <alignment horizontal="right" vertical="center"/>
    </xf>
    <xf numFmtId="0" fontId="1" fillId="0" borderId="15" xfId="5" applyBorder="1" applyAlignment="1">
      <alignment horizontal="right" vertical="center"/>
    </xf>
    <xf numFmtId="0" fontId="32" fillId="0" borderId="5" xfId="5" applyFont="1" applyBorder="1" applyAlignment="1">
      <alignment horizontal="center" vertical="center" wrapText="1"/>
    </xf>
    <xf numFmtId="0" fontId="1" fillId="0" borderId="5" xfId="5" applyBorder="1" applyAlignment="1">
      <alignment vertical="center" wrapText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10" borderId="3" xfId="5" applyFont="1" applyFill="1" applyBorder="1" applyAlignment="1" applyProtection="1">
      <alignment horizontal="center" vertical="center"/>
      <protection hidden="1"/>
    </xf>
    <xf numFmtId="0" fontId="28" fillId="10" borderId="6" xfId="5" applyFont="1" applyFill="1" applyBorder="1" applyAlignment="1" applyProtection="1">
      <alignment horizontal="center" vertical="center"/>
      <protection hidden="1"/>
    </xf>
    <xf numFmtId="0" fontId="28" fillId="0" borderId="1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right" vertical="center" wrapText="1"/>
    </xf>
    <xf numFmtId="0" fontId="28" fillId="10" borderId="3" xfId="0" applyFont="1" applyFill="1" applyBorder="1" applyAlignment="1">
      <alignment horizontal="center" vertical="center" wrapText="1"/>
    </xf>
    <xf numFmtId="0" fontId="28" fillId="10" borderId="6" xfId="0" applyFont="1" applyFill="1" applyBorder="1" applyAlignment="1">
      <alignment horizontal="center" vertical="center" wrapText="1"/>
    </xf>
    <xf numFmtId="0" fontId="83" fillId="0" borderId="3" xfId="0" applyFont="1" applyBorder="1" applyAlignment="1">
      <alignment horizontal="right" vertical="center" wrapText="1"/>
    </xf>
    <xf numFmtId="0" fontId="83" fillId="0" borderId="1" xfId="0" applyFont="1" applyBorder="1" applyAlignment="1">
      <alignment horizontal="right" vertical="center" wrapText="1"/>
    </xf>
    <xf numFmtId="0" fontId="83" fillId="0" borderId="6" xfId="0" applyFont="1" applyBorder="1" applyAlignment="1">
      <alignment horizontal="right" vertical="center" wrapText="1"/>
    </xf>
    <xf numFmtId="0" fontId="39" fillId="11" borderId="9" xfId="11" applyFont="1" applyFill="1" applyBorder="1" applyAlignment="1" applyProtection="1">
      <alignment horizontal="center" vertical="center" wrapText="1"/>
      <protection hidden="1"/>
    </xf>
    <xf numFmtId="0" fontId="1" fillId="0" borderId="10" xfId="11" applyBorder="1" applyAlignment="1">
      <alignment horizontal="center" vertical="center"/>
    </xf>
    <xf numFmtId="0" fontId="1" fillId="0" borderId="13" xfId="11" applyBorder="1" applyAlignment="1">
      <alignment horizontal="center" vertical="center"/>
    </xf>
    <xf numFmtId="0" fontId="1" fillId="0" borderId="15" xfId="11" applyBorder="1" applyAlignment="1">
      <alignment horizontal="center" vertical="center"/>
    </xf>
    <xf numFmtId="0" fontId="14" fillId="6" borderId="0" xfId="5" applyFont="1" applyFill="1" applyAlignment="1" applyProtection="1">
      <alignment horizontal="left" vertical="center"/>
      <protection hidden="1"/>
    </xf>
    <xf numFmtId="0" fontId="46" fillId="2" borderId="9" xfId="0" applyFont="1" applyFill="1" applyBorder="1" applyAlignment="1" applyProtection="1">
      <alignment horizontal="left" vertical="top"/>
      <protection locked="0"/>
    </xf>
    <xf numFmtId="0" fontId="46" fillId="2" borderId="19" xfId="0" applyFont="1" applyFill="1" applyBorder="1" applyAlignment="1" applyProtection="1">
      <alignment horizontal="left" vertical="top"/>
      <protection locked="0"/>
    </xf>
    <xf numFmtId="0" fontId="0" fillId="0" borderId="19" xfId="0" applyBorder="1" applyAlignment="1">
      <alignment horizontal="left" vertical="top"/>
    </xf>
    <xf numFmtId="0" fontId="46" fillId="2" borderId="13" xfId="0" applyFont="1" applyFill="1" applyBorder="1" applyAlignment="1" applyProtection="1">
      <alignment horizontal="left" vertical="top"/>
      <protection locked="0"/>
    </xf>
    <xf numFmtId="0" fontId="46" fillId="2" borderId="4" xfId="0" applyFon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</cellXfs>
  <cellStyles count="12">
    <cellStyle name="Milliers [0]" xfId="1" builtinId="6"/>
    <cellStyle name="Monétaire" xfId="4" builtinId="4"/>
    <cellStyle name="Monétaire [0]" xfId="2" builtinId="7"/>
    <cellStyle name="Monétaire 2" xfId="6" xr:uid="{79653BBA-D6FA-436F-A941-E55BDC821266}"/>
    <cellStyle name="Monétaire 2 2" xfId="9" xr:uid="{DA6CA538-44C6-4EBB-814D-0EFE133C7DC7}"/>
    <cellStyle name="Monétaire 3" xfId="7" xr:uid="{8D1801E6-F460-48C6-89AF-29EB477C5DF9}"/>
    <cellStyle name="Monétaire 3 2" xfId="10" xr:uid="{FF23C851-C850-429E-8DB3-4241A3A865B7}"/>
    <cellStyle name="Monétaire 4" xfId="8" xr:uid="{64655985-A96B-441A-BF47-1E51532D69F0}"/>
    <cellStyle name="Normal" xfId="0" builtinId="0"/>
    <cellStyle name="Normal 2" xfId="5" xr:uid="{BDEE875A-641A-4782-8502-3C9AFBA9C93D}"/>
    <cellStyle name="Normal 3 2" xfId="11" xr:uid="{1BA3EFBA-BBAF-4400-8C34-2C6A4B0B21B1}"/>
    <cellStyle name="Pourcentage" xfId="3" builtinId="5"/>
  </cellStyles>
  <dxfs count="61">
    <dxf>
      <font>
        <color theme="0" tint="-0.24994659260841701"/>
      </font>
      <fill>
        <patternFill>
          <bgColor theme="0" tint="-0.14996795556505021"/>
        </patternFill>
      </fill>
    </dxf>
    <dxf>
      <font>
        <color rgb="FFFF0000"/>
      </font>
      <fill>
        <patternFill>
          <fgColor rgb="FFFFFF00"/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fgColor rgb="FFFFFF00"/>
          <bgColor rgb="FFFFFF00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9C0006"/>
      </font>
    </dxf>
    <dxf>
      <font>
        <color rgb="FFFF0000"/>
      </font>
    </dxf>
    <dxf>
      <border>
        <top style="thin">
          <color auto="1"/>
        </top>
        <vertical/>
        <horizontal/>
      </border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theme="0" tint="-0.24994659260841701"/>
      </font>
      <fill>
        <patternFill>
          <bgColor rgb="FFD9D9D9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C00000"/>
      </font>
    </dxf>
    <dxf>
      <font>
        <color rgb="FFFF0000"/>
      </font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  <fill>
        <patternFill>
          <bgColor rgb="FFFFFF00"/>
        </patternFill>
      </fill>
    </dxf>
    <dxf>
      <font>
        <color rgb="FF9C0006"/>
      </font>
    </dxf>
    <dxf>
      <font>
        <color rgb="FFFF0000"/>
      </font>
    </dxf>
    <dxf>
      <font>
        <color theme="0" tint="-0.24994659260841701"/>
      </font>
      <fill>
        <patternFill>
          <bgColor rgb="FFD9D9D9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strike val="0"/>
        <color rgb="FFFF0000"/>
      </font>
    </dxf>
    <dxf>
      <font>
        <color rgb="FFC00000"/>
      </font>
    </dxf>
  </dxfs>
  <tableStyles count="0" defaultTableStyle="TableStyleMedium9" defaultPivotStyle="PivotStyleLight16"/>
  <colors>
    <mruColors>
      <color rgb="FFF4750C"/>
      <color rgb="FFBFBFBF"/>
      <color rgb="FFFDE2CB"/>
      <color rgb="FFE1EB81"/>
      <color rgb="FFD5D297"/>
      <color rgb="FFFABF8F"/>
      <color rgb="FFF8A15A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5" dropStyle="combo" dx="16" fmlaLink="$A$64" fmlaRange="$B$65:$B$67" noThreeD="1" sel="1" val="0"/>
</file>

<file path=xl/ctrlProps/ctrlProp2.xml><?xml version="1.0" encoding="utf-8"?>
<formControlPr xmlns="http://schemas.microsoft.com/office/spreadsheetml/2009/9/main" objectType="Drop" dropLines="3" dropStyle="combo" dx="16" fmlaLink="$A$64" fmlaRange="$B$65:$B$67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7620</xdr:rowOff>
        </xdr:from>
        <xdr:to>
          <xdr:col>5</xdr:col>
          <xdr:colOff>304800</xdr:colOff>
          <xdr:row>5</xdr:row>
          <xdr:rowOff>7620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133387</xdr:colOff>
      <xdr:row>0</xdr:row>
      <xdr:rowOff>53379</xdr:rowOff>
    </xdr:from>
    <xdr:to>
      <xdr:col>1</xdr:col>
      <xdr:colOff>363991</xdr:colOff>
      <xdr:row>0</xdr:row>
      <xdr:rowOff>820333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87" y="53379"/>
          <a:ext cx="735429" cy="757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</xdr:row>
          <xdr:rowOff>7620</xdr:rowOff>
        </xdr:from>
        <xdr:to>
          <xdr:col>5</xdr:col>
          <xdr:colOff>342900</xdr:colOff>
          <xdr:row>5</xdr:row>
          <xdr:rowOff>7620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133387</xdr:colOff>
      <xdr:row>0</xdr:row>
      <xdr:rowOff>53379</xdr:rowOff>
    </xdr:from>
    <xdr:to>
      <xdr:col>1</xdr:col>
      <xdr:colOff>383676</xdr:colOff>
      <xdr:row>0</xdr:row>
      <xdr:rowOff>816523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87" y="53379"/>
          <a:ext cx="735429" cy="757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W105"/>
  <sheetViews>
    <sheetView tabSelected="1" zoomScaleNormal="100" zoomScaleSheetLayoutView="100" workbookViewId="0">
      <selection activeCell="B2" sqref="B2:D2"/>
    </sheetView>
  </sheetViews>
  <sheetFormatPr baseColWidth="10" defaultColWidth="8.90625" defaultRowHeight="15" x14ac:dyDescent="0.25"/>
  <cols>
    <col min="1" max="1" width="5.7265625" style="1" customWidth="1"/>
    <col min="2" max="2" width="18.6328125" style="3" customWidth="1"/>
    <col min="3" max="11" width="12.81640625" style="1" customWidth="1"/>
    <col min="12" max="12" width="12" style="1" customWidth="1"/>
    <col min="13" max="21" width="0.7265625" style="1" hidden="1" customWidth="1"/>
    <col min="22" max="22" width="11.36328125" style="1" hidden="1" customWidth="1"/>
    <col min="23" max="23" width="12.7265625" style="1" hidden="1" customWidth="1"/>
    <col min="24" max="24" width="10.36328125" style="1" hidden="1" customWidth="1"/>
    <col min="25" max="25" width="8.90625" style="1" hidden="1" customWidth="1"/>
    <col min="26" max="26" width="85.08984375" style="1" hidden="1" customWidth="1"/>
    <col min="27" max="41" width="8.90625" style="1"/>
    <col min="42" max="16384" width="8.90625" style="64"/>
  </cols>
  <sheetData>
    <row r="1" spans="1:47" ht="70.2" customHeight="1" thickBot="1" x14ac:dyDescent="0.3">
      <c r="A1" s="2"/>
      <c r="B1" s="62"/>
      <c r="C1" s="63"/>
      <c r="D1" s="381" t="s">
        <v>185</v>
      </c>
      <c r="E1" s="381"/>
      <c r="F1" s="381"/>
      <c r="G1" s="381"/>
      <c r="H1" s="381"/>
      <c r="I1" s="381"/>
      <c r="J1" s="381"/>
      <c r="K1" s="381"/>
      <c r="AP1" s="68"/>
      <c r="AQ1" s="68"/>
      <c r="AR1" s="68"/>
      <c r="AS1" s="68"/>
      <c r="AT1" s="68"/>
      <c r="AU1" s="68"/>
    </row>
    <row r="2" spans="1:47" s="65" customFormat="1" ht="34.950000000000003" customHeight="1" thickBot="1" x14ac:dyDescent="0.3">
      <c r="A2" s="53" t="s">
        <v>0</v>
      </c>
      <c r="B2" s="386"/>
      <c r="C2" s="387"/>
      <c r="D2" s="388"/>
      <c r="E2" s="25" t="s">
        <v>1</v>
      </c>
      <c r="F2" s="390"/>
      <c r="G2" s="391"/>
      <c r="H2" s="389" t="s">
        <v>93</v>
      </c>
      <c r="I2" s="389"/>
      <c r="J2" s="384"/>
      <c r="K2" s="38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84"/>
      <c r="AO2" s="84"/>
      <c r="AP2" s="84"/>
      <c r="AQ2" s="84"/>
      <c r="AR2" s="84"/>
      <c r="AS2" s="84"/>
      <c r="AT2" s="84"/>
      <c r="AU2" s="84"/>
    </row>
    <row r="3" spans="1:47" s="65" customFormat="1" ht="21" x14ac:dyDescent="0.25">
      <c r="A3" s="54" t="s">
        <v>3</v>
      </c>
      <c r="B3" s="51"/>
      <c r="C3" s="52"/>
      <c r="D3" s="4"/>
      <c r="E3" s="85"/>
      <c r="F3" s="5"/>
      <c r="G3" s="6"/>
      <c r="H3" s="85"/>
      <c r="I3" s="5"/>
      <c r="J3" s="7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84"/>
      <c r="AP3" s="84"/>
      <c r="AQ3" s="84"/>
      <c r="AR3" s="84"/>
      <c r="AS3" s="84"/>
      <c r="AT3" s="84"/>
      <c r="AU3" s="84"/>
    </row>
    <row r="4" spans="1:47" x14ac:dyDescent="0.25">
      <c r="A4" s="7"/>
      <c r="B4" s="20"/>
      <c r="C4" s="21"/>
      <c r="D4" s="8"/>
      <c r="E4" s="8"/>
      <c r="F4" s="8"/>
      <c r="G4" s="9"/>
      <c r="H4" s="10"/>
      <c r="I4" s="68"/>
      <c r="K4" s="68"/>
      <c r="AP4" s="68"/>
      <c r="AQ4" s="68"/>
      <c r="AR4" s="68"/>
      <c r="AS4" s="68"/>
      <c r="AT4" s="68"/>
      <c r="AU4" s="68"/>
    </row>
    <row r="5" spans="1:47" ht="30" customHeight="1" x14ac:dyDescent="0.25">
      <c r="A5" s="382" t="s">
        <v>4</v>
      </c>
      <c r="B5" s="383"/>
      <c r="C5" s="86"/>
      <c r="D5" s="86"/>
      <c r="E5" s="86"/>
      <c r="F5" s="87"/>
      <c r="G5" s="68"/>
      <c r="AP5" s="68"/>
      <c r="AQ5" s="68"/>
      <c r="AR5" s="68"/>
      <c r="AS5" s="68"/>
      <c r="AT5" s="68"/>
      <c r="AU5" s="68"/>
    </row>
    <row r="6" spans="1:47" x14ac:dyDescent="0.25">
      <c r="A6" s="22"/>
      <c r="B6" s="23"/>
      <c r="C6" s="86"/>
      <c r="D6" s="86"/>
      <c r="E6" s="86"/>
      <c r="F6" s="87"/>
      <c r="G6" s="68"/>
      <c r="AP6" s="68"/>
      <c r="AQ6" s="68"/>
      <c r="AR6" s="68"/>
      <c r="AS6" s="68"/>
      <c r="AT6" s="68"/>
      <c r="AU6" s="68"/>
    </row>
    <row r="7" spans="1:47" s="67" customFormat="1" ht="30" customHeight="1" x14ac:dyDescent="0.25">
      <c r="A7" s="11"/>
      <c r="B7" s="15"/>
      <c r="C7" s="392" t="s">
        <v>5</v>
      </c>
      <c r="D7" s="394"/>
      <c r="E7" s="105"/>
      <c r="F7" s="47" t="s">
        <v>6</v>
      </c>
      <c r="G7" s="55"/>
      <c r="H7" s="47" t="s">
        <v>7</v>
      </c>
      <c r="I7" s="55"/>
      <c r="J7" s="48" t="s">
        <v>8</v>
      </c>
      <c r="K7" s="56">
        <f>(G7*I7)/60</f>
        <v>0</v>
      </c>
      <c r="L7" s="66"/>
      <c r="M7" s="1"/>
      <c r="N7" s="1"/>
      <c r="O7" s="1"/>
      <c r="P7" s="1"/>
      <c r="Q7" s="12"/>
      <c r="R7" s="12"/>
      <c r="S7" s="12"/>
      <c r="T7" s="12"/>
      <c r="U7" s="12"/>
      <c r="V7" s="12"/>
      <c r="W7" s="13"/>
      <c r="X7" s="13"/>
      <c r="Y7" s="12"/>
      <c r="Z7" s="14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7" x14ac:dyDescent="0.25">
      <c r="A8" s="7"/>
      <c r="B8" s="20"/>
      <c r="C8" s="21"/>
      <c r="D8" s="8"/>
      <c r="E8" s="115"/>
      <c r="F8" s="8"/>
      <c r="G8" s="9"/>
      <c r="H8" s="20"/>
      <c r="I8" s="9"/>
      <c r="J8" s="9"/>
      <c r="K8" s="57"/>
      <c r="L8" s="9"/>
      <c r="AP8" s="68"/>
      <c r="AQ8" s="68"/>
      <c r="AR8" s="68"/>
      <c r="AS8" s="68"/>
      <c r="AT8" s="68"/>
      <c r="AU8" s="68"/>
    </row>
    <row r="9" spans="1:47" s="67" customFormat="1" ht="15.6" hidden="1" x14ac:dyDescent="0.25">
      <c r="A9" s="11"/>
      <c r="B9" s="15"/>
      <c r="C9" s="21"/>
      <c r="D9" s="8"/>
      <c r="E9" s="115"/>
      <c r="F9" s="8"/>
      <c r="G9" s="8"/>
      <c r="L9" s="20"/>
      <c r="M9" s="20"/>
      <c r="N9" s="20"/>
      <c r="O9" s="66"/>
      <c r="P9" s="1"/>
      <c r="Q9" s="1"/>
      <c r="R9" s="1"/>
      <c r="S9" s="1"/>
      <c r="T9" s="12"/>
      <c r="U9" s="12"/>
      <c r="V9" s="12"/>
      <c r="W9" s="12"/>
      <c r="X9" s="12"/>
      <c r="Y9" s="12"/>
      <c r="Z9" s="13"/>
      <c r="AA9" s="13"/>
      <c r="AB9" s="12"/>
      <c r="AC9" s="14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7" s="67" customFormat="1" ht="30" customHeight="1" x14ac:dyDescent="0.25">
      <c r="A10" s="11"/>
      <c r="C10" s="392" t="s">
        <v>9</v>
      </c>
      <c r="D10" s="393"/>
      <c r="E10" s="105"/>
      <c r="F10" s="24">
        <f>IF(E10="Yes",60%,49%)</f>
        <v>0.49</v>
      </c>
      <c r="G10" s="20"/>
      <c r="H10" s="66"/>
      <c r="I10" s="66"/>
      <c r="J10" s="49" t="s">
        <v>11</v>
      </c>
      <c r="K10" s="58">
        <f>IF($K$7=0,0,$E$7/$K$7)</f>
        <v>0</v>
      </c>
      <c r="L10" s="10"/>
      <c r="M10" s="20"/>
      <c r="N10" s="20"/>
      <c r="O10" s="66"/>
      <c r="P10" s="1"/>
      <c r="Q10" s="1"/>
      <c r="R10" s="1"/>
      <c r="S10" s="1"/>
      <c r="T10" s="12"/>
      <c r="U10" s="12"/>
      <c r="W10" s="370" t="s">
        <v>132</v>
      </c>
      <c r="X10" s="323">
        <f>IF(SUM($C$24:$C$29)&gt;0,"Yes",0)</f>
        <v>0</v>
      </c>
      <c r="Z10" s="13"/>
      <c r="AA10" s="13"/>
      <c r="AB10" s="12"/>
      <c r="AC10" s="14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7" s="67" customFormat="1" ht="15.6" x14ac:dyDescent="0.25">
      <c r="A11" s="7"/>
      <c r="B11"/>
      <c r="G11"/>
      <c r="H11" s="11"/>
      <c r="L11" s="10"/>
      <c r="M11" s="20"/>
      <c r="N11" s="20"/>
      <c r="O11" s="66"/>
      <c r="P11" s="1"/>
      <c r="Q11" s="1"/>
      <c r="R11" s="1"/>
      <c r="S11" s="1"/>
      <c r="T11" s="12"/>
      <c r="U11" s="12"/>
      <c r="V11" s="12"/>
      <c r="W11" s="12"/>
      <c r="X11" s="12"/>
      <c r="Y11" s="12"/>
      <c r="Z11" s="13"/>
      <c r="AA11" s="13"/>
      <c r="AB11" s="12"/>
      <c r="AC11" s="14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7" hidden="1" x14ac:dyDescent="0.25">
      <c r="A12" s="18"/>
      <c r="B12"/>
      <c r="C12"/>
      <c r="D12"/>
      <c r="E12"/>
      <c r="F12" s="9"/>
      <c r="G12" s="9"/>
      <c r="H12" s="68"/>
      <c r="I12" s="68"/>
      <c r="J12" s="68"/>
      <c r="K12" s="68"/>
      <c r="L12" s="8"/>
      <c r="M12" s="9"/>
      <c r="N12" s="9"/>
      <c r="V12" s="421" t="s">
        <v>130</v>
      </c>
      <c r="W12" s="422"/>
      <c r="X12" s="117"/>
      <c r="AP12" s="1"/>
      <c r="AQ12" s="1"/>
      <c r="AR12" s="1"/>
      <c r="AS12" s="68"/>
      <c r="AT12" s="68"/>
      <c r="AU12" s="68"/>
    </row>
    <row r="13" spans="1:47" hidden="1" x14ac:dyDescent="0.25">
      <c r="A13"/>
      <c r="B13"/>
      <c r="C13"/>
      <c r="D13"/>
      <c r="E13"/>
      <c r="H13" s="68"/>
      <c r="M13" s="10"/>
      <c r="N13" s="10"/>
      <c r="AP13" s="1"/>
      <c r="AQ13" s="1"/>
      <c r="AR13" s="1"/>
      <c r="AS13" s="1"/>
      <c r="AT13" s="1"/>
      <c r="AU13" s="1"/>
    </row>
    <row r="14" spans="1:47" ht="30" customHeight="1" x14ac:dyDescent="0.25">
      <c r="A14"/>
      <c r="B14" s="413" t="s">
        <v>126</v>
      </c>
      <c r="C14" s="414"/>
      <c r="D14" s="415"/>
      <c r="E14" s="222"/>
      <c r="F14" s="364"/>
      <c r="G14" s="9"/>
      <c r="I14" s="400" t="s">
        <v>114</v>
      </c>
      <c r="J14" s="401"/>
      <c r="K14" s="183" t="str">
        <f>IF(OR(K10=0,N(E$7)=0),"",IF(K10&gt;=400000,"Yes","No"))</f>
        <v/>
      </c>
      <c r="L14" s="184" t="str">
        <f>IFERROR(IF(K14="Yes","N/A to animated productions",""),"")</f>
        <v/>
      </c>
      <c r="O14" s="16"/>
      <c r="AN14" s="68"/>
      <c r="AO14" s="68"/>
      <c r="AP14" s="68"/>
      <c r="AQ14" s="68"/>
      <c r="AR14" s="68"/>
      <c r="AS14" s="68"/>
      <c r="AT14" s="68"/>
      <c r="AU14" s="68"/>
    </row>
    <row r="15" spans="1:47" ht="30" customHeight="1" x14ac:dyDescent="0.25">
      <c r="A15" s="68"/>
      <c r="B15" s="416" t="s">
        <v>127</v>
      </c>
      <c r="C15" s="416"/>
      <c r="D15" s="416"/>
      <c r="E15" s="223" t="str">
        <f>IF($E$7&gt;0,1%*$E$7,"")</f>
        <v/>
      </c>
      <c r="G15" s="68"/>
      <c r="I15" s="400" t="s">
        <v>112</v>
      </c>
      <c r="J15" s="401"/>
      <c r="K15" s="56" t="str">
        <f>IF(N(E$7)=0,"",IF(E$7&gt;500000,"Yes","No"))</f>
        <v/>
      </c>
      <c r="L15" s="184" t="str">
        <f>IFERROR(IF(K15="Yes","N/A to live-to-air productions",""),"")</f>
        <v/>
      </c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</row>
    <row r="16" spans="1:47" ht="30" customHeight="1" x14ac:dyDescent="0.25">
      <c r="A16" s="68"/>
      <c r="B16" s="416" t="s">
        <v>128</v>
      </c>
      <c r="C16" s="416"/>
      <c r="D16" s="416"/>
      <c r="E16" s="224" t="str">
        <f>IF(E15="","",E14-E15)</f>
        <v/>
      </c>
      <c r="G16" s="68"/>
      <c r="K16" s="16"/>
      <c r="M16" s="69"/>
      <c r="N16" s="69"/>
      <c r="W16" s="369" t="s">
        <v>134</v>
      </c>
      <c r="X16" s="119">
        <f>C30-E17</f>
        <v>0</v>
      </c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</row>
    <row r="17" spans="1:41" ht="30" customHeight="1" x14ac:dyDescent="0.25">
      <c r="A17" s="68"/>
      <c r="B17" s="1"/>
      <c r="C17" s="397" t="s">
        <v>91</v>
      </c>
      <c r="D17" s="398"/>
      <c r="E17" s="105"/>
      <c r="G17" s="68"/>
      <c r="K17" s="16"/>
      <c r="AJ17" s="68"/>
      <c r="AK17" s="68"/>
      <c r="AL17" s="68"/>
      <c r="AM17" s="68"/>
      <c r="AN17" s="68"/>
      <c r="AO17" s="68"/>
    </row>
    <row r="18" spans="1:41" s="68" customFormat="1" ht="17.25" hidden="1" customHeight="1" x14ac:dyDescent="0.25">
      <c r="B18" s="97"/>
      <c r="C18" s="95"/>
      <c r="D18" s="98"/>
      <c r="E18" s="99"/>
      <c r="F18" s="1"/>
      <c r="H18" s="1"/>
      <c r="I18" s="1"/>
      <c r="J18" s="1"/>
      <c r="K18" s="1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41" s="68" customFormat="1" ht="16.5" customHeight="1" x14ac:dyDescent="0.25">
      <c r="A19"/>
      <c r="B19" s="100"/>
      <c r="C19" s="100"/>
      <c r="D19" s="100"/>
      <c r="E19" s="100"/>
      <c r="F19" s="100"/>
      <c r="G19"/>
      <c r="H19"/>
      <c r="I19"/>
      <c r="J19"/>
      <c r="K1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41" s="68" customFormat="1" ht="15.45" customHeight="1" x14ac:dyDescent="0.25">
      <c r="A20" s="226" t="s">
        <v>131</v>
      </c>
      <c r="B20" s="101"/>
      <c r="C20" s="101"/>
      <c r="D20" s="101"/>
      <c r="E20" s="101"/>
      <c r="F20" s="101"/>
      <c r="G20"/>
      <c r="H20"/>
      <c r="I20"/>
      <c r="J20"/>
      <c r="K20"/>
      <c r="L20" s="16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41" s="68" customFormat="1" ht="60" customHeight="1" x14ac:dyDescent="0.25">
      <c r="A21" s="402" t="s">
        <v>123</v>
      </c>
      <c r="B21" s="403"/>
      <c r="C21" s="225" t="s">
        <v>129</v>
      </c>
      <c r="D21" s="207" t="s">
        <v>135</v>
      </c>
      <c r="E21" s="207" t="s">
        <v>136</v>
      </c>
      <c r="F21" s="61" t="s">
        <v>125</v>
      </c>
      <c r="G21" s="44" t="s">
        <v>109</v>
      </c>
      <c r="H21" s="171" t="s">
        <v>12</v>
      </c>
      <c r="I21" s="44" t="s">
        <v>13</v>
      </c>
      <c r="J21" s="235" t="s">
        <v>137</v>
      </c>
      <c r="K21" s="235" t="s">
        <v>138</v>
      </c>
      <c r="L21" s="243" t="s">
        <v>14</v>
      </c>
      <c r="M21" s="1"/>
      <c r="N21" s="1"/>
      <c r="O21" s="1"/>
      <c r="P21" s="1"/>
      <c r="Q21" s="1"/>
      <c r="R21" s="1"/>
      <c r="S21" s="1"/>
      <c r="T21" s="1"/>
      <c r="U21" s="1"/>
      <c r="V21" s="302" t="s">
        <v>144</v>
      </c>
      <c r="W21" s="247" t="s">
        <v>105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41" s="232" customFormat="1" ht="18" customHeight="1" x14ac:dyDescent="0.25">
      <c r="A22" s="227"/>
      <c r="B22" s="228"/>
      <c r="C22" s="228"/>
      <c r="D22" s="238"/>
      <c r="E22" s="239"/>
      <c r="F22" s="240"/>
      <c r="G22" s="239"/>
      <c r="H22" s="239"/>
      <c r="I22" s="239"/>
      <c r="J22" s="417" t="s">
        <v>139</v>
      </c>
      <c r="K22" s="418"/>
      <c r="L22" s="229"/>
      <c r="M22" s="230"/>
      <c r="N22" s="230"/>
      <c r="O22" s="231"/>
      <c r="P22" s="231"/>
      <c r="Q22" s="231"/>
      <c r="R22" s="231"/>
      <c r="S22" s="231"/>
      <c r="T22" s="231"/>
      <c r="V22" s="229"/>
      <c r="W22" s="248"/>
      <c r="Y22" s="230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/>
      <c r="AK22" s="231"/>
      <c r="AL22" s="231"/>
    </row>
    <row r="23" spans="1:41" s="39" customFormat="1" ht="18" customHeight="1" x14ac:dyDescent="0.25">
      <c r="A23" s="104"/>
      <c r="B23" s="352" t="s">
        <v>91</v>
      </c>
      <c r="C23" s="233">
        <f>E17</f>
        <v>0</v>
      </c>
      <c r="D23" s="251" t="str">
        <f>IF(SUM($X$23:$X$28)&gt;0,$Z$24,"")</f>
        <v/>
      </c>
      <c r="E23" s="241"/>
      <c r="F23" s="242"/>
      <c r="G23" s="241"/>
      <c r="H23" s="241"/>
      <c r="I23" s="241"/>
      <c r="J23" s="419"/>
      <c r="K23" s="420"/>
      <c r="L23" s="244"/>
      <c r="M23" s="31"/>
      <c r="N23" s="31"/>
      <c r="O23" s="72"/>
      <c r="P23" s="72"/>
      <c r="Q23" s="72"/>
      <c r="R23" s="72"/>
      <c r="S23" s="72"/>
      <c r="T23" s="72"/>
      <c r="U23" s="72"/>
      <c r="V23" s="244"/>
      <c r="W23" s="248"/>
      <c r="X23" s="231" t="s">
        <v>142</v>
      </c>
      <c r="Y23" s="230"/>
      <c r="Z23" s="231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</row>
    <row r="24" spans="1:41" s="39" customFormat="1" ht="18" customHeight="1" x14ac:dyDescent="0.25">
      <c r="A24" s="44" t="s">
        <v>15</v>
      </c>
      <c r="B24" s="178"/>
      <c r="C24" s="365"/>
      <c r="D24" s="365"/>
      <c r="E24" s="296"/>
      <c r="F24" s="372"/>
      <c r="G24" s="179"/>
      <c r="H24" s="185">
        <f t="shared" ref="H24:H29" si="0">DATE(YEAR(G24),(MONTH(G24)+I24),DAY(G24))</f>
        <v>0</v>
      </c>
      <c r="I24" s="106"/>
      <c r="J24" s="236"/>
      <c r="K24" s="237"/>
      <c r="L24" s="236"/>
      <c r="M24" s="31"/>
      <c r="N24" s="31"/>
      <c r="O24" s="31"/>
      <c r="P24" s="31"/>
      <c r="Q24" s="31"/>
      <c r="R24" s="31"/>
      <c r="S24" s="31"/>
      <c r="T24" s="31"/>
      <c r="U24" s="31"/>
      <c r="V24" s="245"/>
      <c r="W24" s="248"/>
      <c r="X24" s="246">
        <f t="shared" ref="X24:X29" si="1">IF(OR(AND(D24&lt;&gt;"",E24&lt;&gt;"",F24&lt;&gt;""),AND(D24&lt;&gt;"",E24&lt;&gt;""),AND(D24&lt;&gt;"",F24&lt;&gt;""),AND(E24&lt;&gt;"",F24&lt;&gt;"")),1,0)</f>
        <v>0</v>
      </c>
      <c r="Y24" s="230"/>
      <c r="Z24" s="230" t="s">
        <v>143</v>
      </c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1:41" s="39" customFormat="1" ht="18" customHeight="1" x14ac:dyDescent="0.25">
      <c r="A25" s="44" t="s">
        <v>16</v>
      </c>
      <c r="B25" s="178"/>
      <c r="C25" s="365"/>
      <c r="D25" s="365"/>
      <c r="E25" s="365"/>
      <c r="F25" s="365"/>
      <c r="G25" s="179"/>
      <c r="H25" s="185">
        <f t="shared" si="0"/>
        <v>0</v>
      </c>
      <c r="I25" s="106"/>
      <c r="J25" s="236"/>
      <c r="K25" s="237"/>
      <c r="L25" s="236"/>
      <c r="M25" s="31"/>
      <c r="N25" s="31"/>
      <c r="O25" s="31"/>
      <c r="P25" s="31"/>
      <c r="Q25" s="31"/>
      <c r="R25" s="31"/>
      <c r="S25" s="31"/>
      <c r="T25" s="31"/>
      <c r="U25" s="31"/>
      <c r="V25" s="245"/>
      <c r="W25" s="248"/>
      <c r="X25" s="246">
        <f t="shared" si="1"/>
        <v>0</v>
      </c>
      <c r="Y25" s="230"/>
      <c r="Z25" s="230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1:41" s="39" customFormat="1" ht="18" customHeight="1" x14ac:dyDescent="0.25">
      <c r="A26" s="44" t="s">
        <v>17</v>
      </c>
      <c r="B26" s="178"/>
      <c r="C26" s="365"/>
      <c r="D26" s="365"/>
      <c r="E26" s="365"/>
      <c r="F26" s="365"/>
      <c r="G26" s="179"/>
      <c r="H26" s="185">
        <f t="shared" si="0"/>
        <v>0</v>
      </c>
      <c r="I26" s="106"/>
      <c r="J26" s="236"/>
      <c r="K26" s="237"/>
      <c r="L26" s="236"/>
      <c r="M26" s="31"/>
      <c r="N26" s="31"/>
      <c r="O26" s="31"/>
      <c r="P26" s="31"/>
      <c r="Q26" s="31"/>
      <c r="R26" s="31"/>
      <c r="S26" s="31"/>
      <c r="T26" s="31"/>
      <c r="U26" s="31"/>
      <c r="V26" s="245"/>
      <c r="W26" s="248"/>
      <c r="X26" s="246">
        <f t="shared" si="1"/>
        <v>0</v>
      </c>
      <c r="Y26" s="230"/>
      <c r="Z26" s="232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1:41" s="39" customFormat="1" ht="18" customHeight="1" x14ac:dyDescent="0.25">
      <c r="A27" s="44" t="s">
        <v>18</v>
      </c>
      <c r="B27" s="178"/>
      <c r="C27" s="365"/>
      <c r="D27" s="365"/>
      <c r="E27" s="365"/>
      <c r="F27" s="365"/>
      <c r="G27" s="179"/>
      <c r="H27" s="185">
        <f t="shared" si="0"/>
        <v>0</v>
      </c>
      <c r="I27" s="106"/>
      <c r="J27" s="236"/>
      <c r="K27" s="300"/>
      <c r="L27" s="236"/>
      <c r="M27" s="31"/>
      <c r="N27" s="31"/>
      <c r="O27" s="31"/>
      <c r="P27" s="31"/>
      <c r="Q27" s="31"/>
      <c r="R27" s="31"/>
      <c r="S27" s="31"/>
      <c r="T27" s="31"/>
      <c r="U27" s="31"/>
      <c r="V27" s="245"/>
      <c r="W27" s="248"/>
      <c r="X27" s="246">
        <f t="shared" si="1"/>
        <v>0</v>
      </c>
      <c r="Y27" s="230"/>
      <c r="Z27" s="232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1:41" s="39" customFormat="1" ht="18" customHeight="1" x14ac:dyDescent="0.25">
      <c r="A28" s="44" t="s">
        <v>19</v>
      </c>
      <c r="B28" s="178"/>
      <c r="C28" s="365"/>
      <c r="D28" s="365"/>
      <c r="E28" s="365"/>
      <c r="F28" s="365"/>
      <c r="G28" s="179"/>
      <c r="H28" s="185">
        <f t="shared" si="0"/>
        <v>0</v>
      </c>
      <c r="I28" s="106"/>
      <c r="J28" s="236"/>
      <c r="K28" s="300"/>
      <c r="L28" s="236"/>
      <c r="M28" s="31"/>
      <c r="N28" s="31"/>
      <c r="O28" s="31"/>
      <c r="P28" s="31"/>
      <c r="Q28" s="31"/>
      <c r="R28" s="31"/>
      <c r="S28" s="31"/>
      <c r="T28" s="31"/>
      <c r="U28" s="31"/>
      <c r="V28" s="245"/>
      <c r="W28" s="248"/>
      <c r="X28" s="246">
        <f t="shared" si="1"/>
        <v>0</v>
      </c>
      <c r="Y28" s="230"/>
      <c r="Z28" s="232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</row>
    <row r="29" spans="1:41" s="39" customFormat="1" ht="18" customHeight="1" thickBot="1" x14ac:dyDescent="0.3">
      <c r="A29" s="44" t="s">
        <v>20</v>
      </c>
      <c r="B29" s="182"/>
      <c r="C29" s="365"/>
      <c r="D29" s="365"/>
      <c r="E29" s="365"/>
      <c r="F29" s="365"/>
      <c r="G29" s="179"/>
      <c r="H29" s="185">
        <f t="shared" si="0"/>
        <v>0</v>
      </c>
      <c r="I29" s="106"/>
      <c r="J29" s="236"/>
      <c r="K29" s="300"/>
      <c r="L29" s="236"/>
      <c r="M29" s="31"/>
      <c r="N29" s="31"/>
      <c r="O29" s="31"/>
      <c r="P29" s="31"/>
      <c r="Q29" s="31"/>
      <c r="R29" s="31"/>
      <c r="S29" s="31"/>
      <c r="T29" s="31"/>
      <c r="U29" s="31"/>
      <c r="V29" s="245"/>
      <c r="W29" s="248"/>
      <c r="X29" s="246">
        <f t="shared" si="1"/>
        <v>0</v>
      </c>
      <c r="Y29" s="230"/>
      <c r="Z29" s="232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</row>
    <row r="30" spans="1:41" s="39" customFormat="1" ht="22.05" customHeight="1" thickBot="1" x14ac:dyDescent="0.3">
      <c r="A30" s="399" t="s">
        <v>21</v>
      </c>
      <c r="B30" s="399"/>
      <c r="C30" s="234">
        <f>SUM(C23:C29)</f>
        <v>0</v>
      </c>
      <c r="D30" s="234">
        <f>SUM(D24:D29)</f>
        <v>0</v>
      </c>
      <c r="E30" s="234">
        <f>SUM(E24:E29)</f>
        <v>0</v>
      </c>
      <c r="F30" s="234">
        <f>SUM(F24:F29)</f>
        <v>0</v>
      </c>
      <c r="G30" s="110"/>
      <c r="H30" s="110"/>
      <c r="I30" s="110"/>
      <c r="J30" s="11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spans="1:41" s="39" customFormat="1" ht="14.25" customHeight="1" x14ac:dyDescent="0.25">
      <c r="A31" s="26"/>
      <c r="B31" s="27"/>
      <c r="C31" s="111"/>
      <c r="D31" s="111"/>
      <c r="E31" s="111"/>
      <c r="F31" s="111"/>
      <c r="G31" s="112"/>
      <c r="H31" s="112"/>
      <c r="I31" s="113"/>
      <c r="J31" s="114"/>
      <c r="K31" s="28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</row>
    <row r="32" spans="1:41" s="39" customFormat="1" ht="25.5" customHeight="1" x14ac:dyDescent="0.25">
      <c r="A32" s="395" t="s">
        <v>22</v>
      </c>
      <c r="B32" s="373"/>
      <c r="C32" s="374"/>
      <c r="D32" s="374"/>
      <c r="E32" s="374"/>
      <c r="F32" s="374"/>
      <c r="G32" s="374"/>
      <c r="H32" s="374"/>
      <c r="I32" s="374"/>
      <c r="J32" s="374"/>
      <c r="K32" s="374"/>
      <c r="L32" s="375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</row>
    <row r="33" spans="1:42" s="39" customFormat="1" ht="25.5" customHeight="1" x14ac:dyDescent="0.25">
      <c r="A33" s="396"/>
      <c r="B33" s="376"/>
      <c r="C33" s="377"/>
      <c r="D33" s="377"/>
      <c r="E33" s="377"/>
      <c r="F33" s="377"/>
      <c r="G33" s="377"/>
      <c r="H33" s="377"/>
      <c r="I33" s="377"/>
      <c r="J33" s="377"/>
      <c r="K33" s="377"/>
      <c r="L33" s="378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</row>
    <row r="34" spans="1:42" s="39" customFormat="1" ht="15.75" customHeight="1" x14ac:dyDescent="0.25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</row>
    <row r="35" spans="1:42" s="39" customFormat="1" ht="18.75" customHeight="1" x14ac:dyDescent="0.25">
      <c r="A35" s="287" t="s">
        <v>156</v>
      </c>
      <c r="B35" s="287"/>
      <c r="C35" s="287"/>
      <c r="D35" s="287"/>
      <c r="E35" s="287"/>
      <c r="F35" s="287"/>
      <c r="G35" s="287"/>
      <c r="H35" s="288"/>
      <c r="I35" s="288"/>
      <c r="J35" s="288"/>
      <c r="K35" s="288"/>
      <c r="L35" s="288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</row>
    <row r="36" spans="1:42" s="70" customFormat="1" ht="60" customHeight="1" x14ac:dyDescent="0.25">
      <c r="A36" s="405" t="s">
        <v>124</v>
      </c>
      <c r="B36" s="401"/>
      <c r="C36" s="321" t="str">
        <f>IF($D$30&gt;0,"Maximum Licence Fee Top-Up",
IF(AND($D$30=0,$E$30&gt;0),"Maximum Contribution","Maximum Licence Fee Top-Up/Contribution"))</f>
        <v>Maximum Licence Fee Top-Up/Contribution</v>
      </c>
      <c r="D36" s="186" t="s">
        <v>119</v>
      </c>
      <c r="E36" s="187" t="s">
        <v>23</v>
      </c>
      <c r="F36" s="187" t="s">
        <v>24</v>
      </c>
      <c r="G36" s="207" t="s">
        <v>145</v>
      </c>
      <c r="H36" s="207" t="s">
        <v>146</v>
      </c>
      <c r="I36" s="207" t="s">
        <v>147</v>
      </c>
      <c r="J36" s="279" t="s">
        <v>152</v>
      </c>
      <c r="K36" s="125" t="s">
        <v>153</v>
      </c>
      <c r="L36" s="125" t="s">
        <v>154</v>
      </c>
      <c r="M36" s="46"/>
      <c r="N36" s="46"/>
      <c r="O36" s="46"/>
      <c r="P36" s="46"/>
      <c r="Q36" s="46"/>
      <c r="R36" s="46"/>
      <c r="S36" s="46"/>
      <c r="T36" s="46"/>
      <c r="U36" s="46"/>
      <c r="V36" s="44" t="s">
        <v>25</v>
      </c>
      <c r="W36" s="44" t="s">
        <v>26</v>
      </c>
      <c r="X36" s="45" t="s">
        <v>27</v>
      </c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</row>
    <row r="37" spans="1:42" s="39" customFormat="1" ht="18" customHeight="1" x14ac:dyDescent="0.25">
      <c r="A37" s="126"/>
      <c r="B37" s="188" t="s">
        <v>91</v>
      </c>
      <c r="C37" s="189">
        <f>IF($E$44-(E$7*20%)&lt;100000,E37,IF((E$7*20%)&lt;MIN(E17,F79:F80),ROUND(E$7*20%,0),MIN(E17,F79:F80)))</f>
        <v>0</v>
      </c>
      <c r="D37" s="189">
        <f t="shared" ref="D37:D44" si="2">E37-C37</f>
        <v>0</v>
      </c>
      <c r="E37" s="189">
        <f>IF(MAX(F$79:F$80)&lt;E17,MAX(F$79:F$80),(E17))</f>
        <v>0</v>
      </c>
      <c r="F37" s="190" t="str">
        <f t="shared" ref="F37:F43" si="3">IF($E$7=0,"",(C37+D37)/$E$7)</f>
        <v/>
      </c>
      <c r="G37" s="249"/>
      <c r="H37" s="214"/>
      <c r="I37" s="214"/>
      <c r="J37" s="214"/>
      <c r="K37" s="214"/>
      <c r="L37" s="215"/>
      <c r="M37" s="31"/>
      <c r="N37" s="31"/>
      <c r="O37" s="31"/>
      <c r="P37" s="31"/>
      <c r="Q37" s="31"/>
      <c r="R37" s="31"/>
      <c r="S37" s="31"/>
      <c r="T37" s="31"/>
      <c r="U37" s="31"/>
      <c r="V37" s="40"/>
      <c r="W37" s="40"/>
      <c r="X37" s="40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1:42" s="39" customFormat="1" ht="18" customHeight="1" x14ac:dyDescent="0.25">
      <c r="A38" s="136" t="s">
        <v>15</v>
      </c>
      <c r="B38" s="129">
        <f>$B$24</f>
        <v>0</v>
      </c>
      <c r="C38" s="189">
        <f>IF(($C$44-$C$37)&gt;0,ROUND((E38/($E$44-$E$37)*($C$44-$C$37)),0),0)</f>
        <v>0</v>
      </c>
      <c r="D38" s="189">
        <f t="shared" si="2"/>
        <v>0</v>
      </c>
      <c r="E38" s="189">
        <f t="shared" ref="E38:E43" si="4">IF($X$16&gt;0,ROUND(C24/($C$30-$C$23)*($E$44-$E$37),0),0)</f>
        <v>0</v>
      </c>
      <c r="F38" s="190" t="str">
        <f t="shared" si="3"/>
        <v/>
      </c>
      <c r="G38" s="250">
        <f>IF($E$7=0,0,
IF(AND($D24&lt;&gt;"",$X24=0,$H50&lt;&gt;"N/A"),$H50,0))</f>
        <v>0</v>
      </c>
      <c r="H38" s="250">
        <f>IF(OR($E$7=0,$B51="Missing Information"),0,
IF(AND($E24&lt;&gt;"",$X24=0,$H50&lt;&gt;"N/A"),$H50,
IF(AND($E24&lt;&gt;"",$X24=0,$H50="N/A"),$E24,0)))</f>
        <v>0</v>
      </c>
      <c r="I38" s="250" t="s">
        <v>28</v>
      </c>
      <c r="J38" s="252">
        <f t="shared" ref="J38:J43" si="5">N(G38)+N(H38)+N(I38)</f>
        <v>0</v>
      </c>
      <c r="K38" s="281" t="str">
        <f t="shared" ref="K38:K43" si="6">IF(E$7=0,"",J38/E$7)</f>
        <v/>
      </c>
      <c r="L38" s="252">
        <f t="shared" ref="L38:L43" si="7">IF(X24=1,0,
N(D24)+N(E24)+N(F24)-J38)</f>
        <v>0</v>
      </c>
      <c r="M38" s="31"/>
      <c r="N38" s="31"/>
      <c r="O38" s="31"/>
      <c r="P38" s="31"/>
      <c r="Q38" s="31"/>
      <c r="R38" s="31"/>
      <c r="S38" s="31"/>
      <c r="T38" s="31"/>
      <c r="U38" s="31"/>
      <c r="V38" s="40">
        <f>IF(I24&lt;72,I24,72)</f>
        <v>0</v>
      </c>
      <c r="W38" s="40">
        <f t="shared" ref="W38:W43" si="8">V24</f>
        <v>0</v>
      </c>
      <c r="X38" s="40" t="s">
        <v>28</v>
      </c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1:42" s="39" customFormat="1" ht="18" customHeight="1" x14ac:dyDescent="0.25">
      <c r="A39" s="136" t="s">
        <v>16</v>
      </c>
      <c r="B39" s="129">
        <f>$B$25</f>
        <v>0</v>
      </c>
      <c r="C39" s="189">
        <f t="shared" ref="C39:C42" si="9">IF(($C$44-$C$37)&gt;0,ROUND((E39/($E$44-$E$37)*($C$44-$C$37)),0),0)</f>
        <v>0</v>
      </c>
      <c r="D39" s="189">
        <f t="shared" si="2"/>
        <v>0</v>
      </c>
      <c r="E39" s="189">
        <f t="shared" si="4"/>
        <v>0</v>
      </c>
      <c r="F39" s="190" t="str">
        <f t="shared" si="3"/>
        <v/>
      </c>
      <c r="G39" s="250">
        <f>IF($E$7=0,0,
IF(AND($D25&lt;&gt;"",$X25=0,$H52&lt;&gt;"N/A"),$H52,0))</f>
        <v>0</v>
      </c>
      <c r="H39" s="250">
        <f>IF(OR($E$7=0,$B53="Missing Information"),0,
IF(AND($E25&lt;&gt;"",$X25=0,$H52&lt;&gt;"N/A"),$H52,
IF(AND($E25&lt;&gt;"",$X25=0,$H52="N/A"),$E25,0)))</f>
        <v>0</v>
      </c>
      <c r="I39" s="278">
        <f>IF($I$44&gt;0,MIN(F25,(F25/$F$30)*I$44),0)</f>
        <v>0</v>
      </c>
      <c r="J39" s="252">
        <f t="shared" si="5"/>
        <v>0</v>
      </c>
      <c r="K39" s="281" t="str">
        <f t="shared" si="6"/>
        <v/>
      </c>
      <c r="L39" s="252">
        <f t="shared" si="7"/>
        <v>0</v>
      </c>
      <c r="M39" s="31"/>
      <c r="N39" s="31"/>
      <c r="O39" s="31"/>
      <c r="P39" s="31"/>
      <c r="Q39" s="31"/>
      <c r="R39" s="31"/>
      <c r="S39" s="31"/>
      <c r="T39" s="31"/>
      <c r="U39" s="31"/>
      <c r="V39" s="41">
        <f>IF(I25=0,0,IF(I25&lt;F52,I25,$F$52))</f>
        <v>0</v>
      </c>
      <c r="W39" s="40">
        <f t="shared" si="8"/>
        <v>0</v>
      </c>
      <c r="X39" s="42">
        <f>IF(G25&gt;DATE(YEAR(G$24),MONTH(G$24)+W38,DAY(G$24)),G25,DATE(YEAR(G$24),MONTH(G$24)+W38,DAY(G$24)))</f>
        <v>0</v>
      </c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1:42" s="39" customFormat="1" ht="18" customHeight="1" x14ac:dyDescent="0.25">
      <c r="A40" s="136" t="s">
        <v>17</v>
      </c>
      <c r="B40" s="129">
        <f>$B$26</f>
        <v>0</v>
      </c>
      <c r="C40" s="189">
        <f t="shared" si="9"/>
        <v>0</v>
      </c>
      <c r="D40" s="189">
        <f t="shared" si="2"/>
        <v>0</v>
      </c>
      <c r="E40" s="189">
        <f t="shared" si="4"/>
        <v>0</v>
      </c>
      <c r="F40" s="190" t="str">
        <f t="shared" si="3"/>
        <v/>
      </c>
      <c r="G40" s="250">
        <f>IF($E$7=0,0,
IF(AND($D26&lt;&gt;"",$X26=0,$H54&lt;&gt;"N/A"),$H54,0))</f>
        <v>0</v>
      </c>
      <c r="H40" s="250">
        <f>IF(OR($E$7=0,$B55="Missing Information"),0,
IF(AND($E26&lt;&gt;"",$X26=0,$H54&lt;&gt;"N/A"),$H54,
IF(AND($E26&lt;&gt;"",$X26=0,$H54="N/A"),$E26,0)))</f>
        <v>0</v>
      </c>
      <c r="I40" s="278">
        <f>IF($I$44&gt;0,MIN(F26,(F26/$F$30)*I$44),0)</f>
        <v>0</v>
      </c>
      <c r="J40" s="252">
        <f t="shared" si="5"/>
        <v>0</v>
      </c>
      <c r="K40" s="281" t="str">
        <f t="shared" si="6"/>
        <v/>
      </c>
      <c r="L40" s="252">
        <f t="shared" si="7"/>
        <v>0</v>
      </c>
      <c r="M40" s="31"/>
      <c r="N40" s="31"/>
      <c r="O40" s="31"/>
      <c r="P40" s="31"/>
      <c r="Q40" s="31"/>
      <c r="R40" s="31"/>
      <c r="S40" s="31"/>
      <c r="T40" s="31"/>
      <c r="U40" s="31"/>
      <c r="V40" s="41">
        <f>IF(I26=0,0,IF(I26&lt;F54,I26,$F$54))</f>
        <v>0</v>
      </c>
      <c r="W40" s="40">
        <f t="shared" si="8"/>
        <v>0</v>
      </c>
      <c r="X40" s="42">
        <f>IF(G26&gt;DATE(YEAR(G$24),MONTH(G$24)+W38+W39,DAY(G$24)),G26,DATE(YEAR(G$24),MONTH(G$24)+W38+W$39,DAY(G$24)))</f>
        <v>0</v>
      </c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1:42" s="39" customFormat="1" ht="18" customHeight="1" x14ac:dyDescent="0.25">
      <c r="A41" s="136" t="s">
        <v>18</v>
      </c>
      <c r="B41" s="129">
        <f>$B$27</f>
        <v>0</v>
      </c>
      <c r="C41" s="189">
        <f t="shared" si="9"/>
        <v>0</v>
      </c>
      <c r="D41" s="189">
        <f t="shared" si="2"/>
        <v>0</v>
      </c>
      <c r="E41" s="189">
        <f t="shared" si="4"/>
        <v>0</v>
      </c>
      <c r="F41" s="190" t="str">
        <f t="shared" si="3"/>
        <v/>
      </c>
      <c r="G41" s="250">
        <f>IF($E$7=0,0,
IF(AND($D27&lt;&gt;"",$X27=0,$H56&lt;&gt;"N/A"),$H56,0))</f>
        <v>0</v>
      </c>
      <c r="H41" s="250">
        <f>IF(OR($E$7=0,$B57="Missing Information"),0,
IF(AND($E27&lt;&gt;"",$X27=0,$H56&lt;&gt;"N/A"),$H56,
IF(AND($E27&lt;&gt;"",$X27=0,$H56="N/A"),$E27,0)))</f>
        <v>0</v>
      </c>
      <c r="I41" s="278">
        <f>IF($I$44&gt;0,MIN(F27,(F27/$F$30)*I$44),0)</f>
        <v>0</v>
      </c>
      <c r="J41" s="252">
        <f t="shared" si="5"/>
        <v>0</v>
      </c>
      <c r="K41" s="281" t="str">
        <f t="shared" si="6"/>
        <v/>
      </c>
      <c r="L41" s="252">
        <f t="shared" si="7"/>
        <v>0</v>
      </c>
      <c r="M41" s="31"/>
      <c r="N41" s="31"/>
      <c r="O41" s="31"/>
      <c r="P41" s="31"/>
      <c r="Q41" s="31"/>
      <c r="R41" s="31"/>
      <c r="S41" s="31"/>
      <c r="T41" s="31"/>
      <c r="U41" s="31"/>
      <c r="V41" s="41">
        <f>IF(I27=0,0,IF(I27&lt;F56,I27,$F$56))</f>
        <v>0</v>
      </c>
      <c r="W41" s="40">
        <f t="shared" si="8"/>
        <v>0</v>
      </c>
      <c r="X41" s="42">
        <f>IF(G27&gt;DATE(YEAR(G$24),MONTH(G$24)+W$38+W$39+W40,DAY(G$24)),G27,DATE(YEAR(G$24),MONTH(G$24)+W$38+W$39+W40,DAY(G$24)))</f>
        <v>0</v>
      </c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1:42" s="39" customFormat="1" ht="18" customHeight="1" x14ac:dyDescent="0.25">
      <c r="A42" s="136" t="s">
        <v>19</v>
      </c>
      <c r="B42" s="129">
        <f>$B$28</f>
        <v>0</v>
      </c>
      <c r="C42" s="189">
        <f t="shared" si="9"/>
        <v>0</v>
      </c>
      <c r="D42" s="189">
        <f t="shared" si="2"/>
        <v>0</v>
      </c>
      <c r="E42" s="189">
        <f t="shared" si="4"/>
        <v>0</v>
      </c>
      <c r="F42" s="190" t="str">
        <f t="shared" si="3"/>
        <v/>
      </c>
      <c r="G42" s="250">
        <f>IF($E$7=0,0,
IF(AND($D28&lt;&gt;"",$X28=0,$H58&lt;&gt;"N/A"),$H58,0))</f>
        <v>0</v>
      </c>
      <c r="H42" s="250">
        <f>IF(OR($E$7=0,$B59="Missing Information"),0,
IF(AND($E28&lt;&gt;"",$X28=0,$H58&lt;&gt;"N/A"),$H58,
IF(AND($E28&lt;&gt;"",$X28=0,$H58="N/A"),$E28,0)))</f>
        <v>0</v>
      </c>
      <c r="I42" s="278">
        <f>IF($I$44&gt;0,MIN(F28,(F28/$F$30)*I$44),0)</f>
        <v>0</v>
      </c>
      <c r="J42" s="252">
        <f t="shared" si="5"/>
        <v>0</v>
      </c>
      <c r="K42" s="281" t="str">
        <f t="shared" si="6"/>
        <v/>
      </c>
      <c r="L42" s="252">
        <f t="shared" si="7"/>
        <v>0</v>
      </c>
      <c r="M42" s="31"/>
      <c r="N42" s="31"/>
      <c r="O42" s="31"/>
      <c r="P42" s="31"/>
      <c r="Q42" s="31"/>
      <c r="R42" s="31"/>
      <c r="S42" s="31"/>
      <c r="T42" s="31"/>
      <c r="U42" s="31"/>
      <c r="V42" s="41">
        <f>IF(I28=0,0,IF(I28&lt;F58,I28,$F$58))</f>
        <v>0</v>
      </c>
      <c r="W42" s="40">
        <f t="shared" si="8"/>
        <v>0</v>
      </c>
      <c r="X42" s="42">
        <f>IF(G28&gt;DATE(YEAR(G$24),MONTH(G$24)+W$38+W$39+W40+W41,DAY(G$24)),G28,DATE(YEAR(G$24),MONTH(G$24)+W$38+W$39+W40+W41,DAY(G$24)))</f>
        <v>0</v>
      </c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1:42" s="39" customFormat="1" ht="18" customHeight="1" thickBot="1" x14ac:dyDescent="0.3">
      <c r="A43" s="171" t="s">
        <v>20</v>
      </c>
      <c r="B43" s="131">
        <f>$B$29</f>
        <v>0</v>
      </c>
      <c r="C43" s="189">
        <f>IF(($C$44-$C$37)&gt;0,ROUND((E43/($E$44-$E$37)*($C$44-$C$37)),0),0)</f>
        <v>0</v>
      </c>
      <c r="D43" s="191">
        <f t="shared" si="2"/>
        <v>0</v>
      </c>
      <c r="E43" s="189">
        <f t="shared" si="4"/>
        <v>0</v>
      </c>
      <c r="F43" s="206" t="str">
        <f t="shared" si="3"/>
        <v/>
      </c>
      <c r="G43" s="250">
        <f>IF($E$7=0,0,
IF(AND($D29&lt;&gt;"",$X29=0,$H60&lt;&gt;"N/A"),$H60,0))</f>
        <v>0</v>
      </c>
      <c r="H43" s="250">
        <f>IF(OR($E$7=0,$B61="Missing Information"),0,
IF(AND($E29&lt;&gt;"",$X29=0,$H60&lt;&gt;"N/A"),$H60,
IF(AND($E29&lt;&gt;"",$X29=0,$H60="N/A"),$E29,0)))</f>
        <v>0</v>
      </c>
      <c r="I43" s="278">
        <f>IF($I$44&gt;0,MIN(F29,(F29/$F$30)*I$44),0)</f>
        <v>0</v>
      </c>
      <c r="J43" s="252">
        <f t="shared" si="5"/>
        <v>0</v>
      </c>
      <c r="K43" s="282" t="str">
        <f t="shared" si="6"/>
        <v/>
      </c>
      <c r="L43" s="252">
        <f t="shared" si="7"/>
        <v>0</v>
      </c>
      <c r="M43" s="31"/>
      <c r="N43" s="31"/>
      <c r="O43" s="31"/>
      <c r="P43" s="31"/>
      <c r="Q43" s="31"/>
      <c r="R43" s="31"/>
      <c r="S43" s="31"/>
      <c r="T43" s="31"/>
      <c r="U43" s="31"/>
      <c r="V43" s="41">
        <f>IF(I29=0,0,IF(I29&lt;F60,I29,$F$60))</f>
        <v>0</v>
      </c>
      <c r="W43" s="40">
        <f t="shared" si="8"/>
        <v>0</v>
      </c>
      <c r="X43" s="42">
        <f>IF(G29&gt;DATE(YEAR(G$24),MONTH(G$24)+W$38+W$39+W40+W41+W42,DAY(G$24)),G29,DATE(YEAR(G$24),MONTH(G$24)+W$38+W$39+W40+W41+W42,DAY(G$24)))</f>
        <v>0</v>
      </c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</row>
    <row r="44" spans="1:42" s="71" customFormat="1" ht="22.05" customHeight="1" thickBot="1" x14ac:dyDescent="0.3">
      <c r="A44" s="132"/>
      <c r="B44" s="133" t="s">
        <v>21</v>
      </c>
      <c r="C44" s="221">
        <f>IF(E44-(E7*20%)&lt;100000,E44,IF((E$7*20%)&lt;E44,ROUND(E$7*20%,0),E44))</f>
        <v>0</v>
      </c>
      <c r="D44" s="221">
        <f t="shared" si="2"/>
        <v>0</v>
      </c>
      <c r="E44" s="221">
        <f>IF(MAX(C$79:C$80)&lt;C30+IF(X$14="Oui",E13,0),
MIN(MAX(C$79:C$80)-E37,X16)+E37,
MIN(MAX(I79:I80),X16)+E37)</f>
        <v>0</v>
      </c>
      <c r="F44" s="193">
        <f>SUM(F37:F43)</f>
        <v>0</v>
      </c>
      <c r="G44" s="192">
        <f>SUM(G38:G43)</f>
        <v>0</v>
      </c>
      <c r="H44" s="192">
        <f>SUM(H38:H43)</f>
        <v>0</v>
      </c>
      <c r="I44" s="192">
        <f>MIN(F30,SUM(G66:G67))</f>
        <v>0</v>
      </c>
      <c r="J44" s="280">
        <f>H44+I44+G44</f>
        <v>0</v>
      </c>
      <c r="K44" s="283">
        <f>SUM(K38:K43)</f>
        <v>0</v>
      </c>
      <c r="L44" s="284">
        <f>SUM(L38:L43)</f>
        <v>0</v>
      </c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</row>
    <row r="45" spans="1:42" s="39" customFormat="1" ht="15.6" hidden="1" x14ac:dyDescent="0.25">
      <c r="A45"/>
      <c r="B45"/>
      <c r="C45"/>
      <c r="D45"/>
      <c r="E45"/>
      <c r="F45"/>
      <c r="G45" s="134"/>
      <c r="H45" s="134"/>
      <c r="I45" s="134"/>
      <c r="J45" s="134"/>
      <c r="K45" s="134"/>
      <c r="L45" s="10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</row>
    <row r="46" spans="1:42" customFormat="1" hidden="1" x14ac:dyDescent="0.25">
      <c r="A46" s="1"/>
    </row>
    <row r="47" spans="1:42" s="90" customFormat="1" ht="15" customHeight="1" x14ac:dyDescent="0.25">
      <c r="A47" s="253" t="s">
        <v>148</v>
      </c>
      <c r="B47" s="220"/>
      <c r="C47" s="220"/>
      <c r="D47" s="220"/>
      <c r="E47" s="220"/>
      <c r="F47" s="212"/>
      <c r="G47" s="212"/>
      <c r="H47" s="212"/>
      <c r="I47" s="213"/>
      <c r="J47" s="213"/>
      <c r="L47" s="92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</row>
    <row r="48" spans="1:42" s="39" customFormat="1" ht="15" customHeight="1" x14ac:dyDescent="0.25"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</row>
    <row r="49" spans="1:43" s="39" customFormat="1" ht="18.75" customHeight="1" x14ac:dyDescent="0.25">
      <c r="A49" s="277" t="s">
        <v>151</v>
      </c>
      <c r="B49" s="32"/>
      <c r="C49" s="60"/>
      <c r="D49" s="60"/>
      <c r="I49" s="31"/>
      <c r="J49" s="31"/>
      <c r="K49" s="34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254" t="s">
        <v>149</v>
      </c>
      <c r="W49" s="254" t="s">
        <v>150</v>
      </c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</row>
    <row r="50" spans="1:43" s="164" customFormat="1" ht="19.95" customHeight="1" x14ac:dyDescent="0.25">
      <c r="A50" s="259" t="s">
        <v>15</v>
      </c>
      <c r="B50" s="255">
        <f>IF(AND($E24&lt;&gt;"",$D24=""),$E24,IF(AND($E24="",$D24&lt;&gt;""),$D24,IF(AND($E24="",$F24&lt;&gt;""),$F24,0)))</f>
        <v>0</v>
      </c>
      <c r="C50" s="260" t="s">
        <v>29</v>
      </c>
      <c r="D50" s="261">
        <f>$I$24</f>
        <v>0</v>
      </c>
      <c r="E50" s="260" t="s">
        <v>30</v>
      </c>
      <c r="F50" s="261">
        <v>72</v>
      </c>
      <c r="G50" s="260" t="s">
        <v>31</v>
      </c>
      <c r="H50" s="255" t="str">
        <f>IF(AND(D24&lt;=0,OR(X24=1,V50=FALSE)),"N/A",
IF($I24&lt;F50,B50,
(B50/D50)*F50))</f>
        <v>N/A</v>
      </c>
      <c r="I50" s="404" t="s">
        <v>32</v>
      </c>
      <c r="J50" s="404"/>
      <c r="K50" s="262">
        <f>DATE(YEAR(G24),MONTH(G24)+F50,DAY(G24))</f>
        <v>2192</v>
      </c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255" t="b">
        <f>AND(E24&gt;0,J24="Canadian",K24="No")</f>
        <v>0</v>
      </c>
      <c r="W50" s="256" t="str">
        <f>IF(X24&gt;0,"N/A",
IF(AND($E24&gt;0,K24="Yes"),"N/A (Dist. related to applicant)",
IF(AND($E24&gt;0,$X24=0,$J24="Canadian",$K24=""),"Missing Information",
IF(AND($E24&gt;0,$X24=0,$J24="",$K24&lt;&gt;"Yes"),"Missing Information",
IF(AND($E24&gt;0,$X24=0,$J24="Canadian",$K24="No"),"Total EDA (Can. Right)",
IF(D24&gt;0,"Total Licence",
IF(OR($J24="International",F24&gt;0),"N/A (intl. Right)","")))))))</f>
        <v/>
      </c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</row>
    <row r="51" spans="1:43" s="135" customFormat="1" ht="19.95" customHeight="1" x14ac:dyDescent="0.25">
      <c r="A51" s="263"/>
      <c r="B51" s="257" t="str">
        <f>W50</f>
        <v/>
      </c>
      <c r="C51" s="264"/>
      <c r="D51" s="265" t="s">
        <v>33</v>
      </c>
      <c r="E51" s="264"/>
      <c r="F51" s="266" t="s">
        <v>34</v>
      </c>
      <c r="G51" s="264"/>
      <c r="H51" s="257" t="s">
        <v>35</v>
      </c>
      <c r="I51" s="267"/>
      <c r="J51" s="267"/>
      <c r="K51" s="268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257"/>
      <c r="W51" s="258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</row>
    <row r="52" spans="1:43" s="135" customFormat="1" ht="19.95" customHeight="1" x14ac:dyDescent="0.25">
      <c r="A52" s="259" t="s">
        <v>16</v>
      </c>
      <c r="B52" s="255">
        <f>IF(AND($E25&lt;&gt;"",$D25=""),$E25,IF(AND($E25="",$D25&lt;&gt;""),$D25,IF(AND($E25="",$F25&lt;&gt;""),$F25,0)))</f>
        <v>0</v>
      </c>
      <c r="C52" s="260" t="s">
        <v>29</v>
      </c>
      <c r="D52" s="261">
        <f>$I$25</f>
        <v>0</v>
      </c>
      <c r="E52" s="260" t="s">
        <v>30</v>
      </c>
      <c r="F52" s="269">
        <f>IF((YEAR(K$50)-YEAR(X39))*12+MONTH(K$50)-MONTH(X39)&lt;0,0,(YEAR(K$50)-YEAR(X39))*12+MONTH(K$50)-MONTH(X39))</f>
        <v>71</v>
      </c>
      <c r="G52" s="260" t="s">
        <v>31</v>
      </c>
      <c r="H52" s="255" t="str">
        <f>IF(AND(D25&lt;=0,OR(X25=1,V52=FALSE)),"N/A",
IF($I25&lt;F52,B52,
(B52/D52)*F52))</f>
        <v>N/A</v>
      </c>
      <c r="I52" s="270"/>
      <c r="J52" s="270"/>
      <c r="K52" s="271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255" t="b">
        <f>AND(E25&gt;0,J25="Canadian",K25="No")</f>
        <v>0</v>
      </c>
      <c r="W52" s="256" t="str">
        <f>IF(X25&gt;0,"N/A",
IF(AND($E25&gt;0,K25="Yes"),"N/A (Dist. related to applicant)",
IF(AND($E25&gt;0,$X25=0,$J25="Canadian",$K25=""),"Missing Information",
IF(AND($E25&gt;0,$X25=0,$J25="",$K25&lt;&gt;"Yes"),"Missing Information",
IF(AND($E25&gt;0,$X25=0,$J25="Canadian",$K25="No"),"Total EDA (Can. Right)",
IF(D25&gt;0,"Total Licence",
IF(OR($J25="International",F25&gt;0),"N/A (Intl. Right)","")))))))</f>
        <v/>
      </c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</row>
    <row r="53" spans="1:43" s="135" customFormat="1" ht="19.95" customHeight="1" x14ac:dyDescent="0.25">
      <c r="A53" s="272"/>
      <c r="B53" s="257" t="str">
        <f>W52</f>
        <v/>
      </c>
      <c r="C53" s="273"/>
      <c r="D53" s="265" t="s">
        <v>33</v>
      </c>
      <c r="E53" s="273"/>
      <c r="F53" s="266" t="s">
        <v>34</v>
      </c>
      <c r="G53" s="264"/>
      <c r="H53" s="257" t="s">
        <v>35</v>
      </c>
      <c r="I53" s="267"/>
      <c r="J53" s="267"/>
      <c r="K53" s="268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257"/>
      <c r="W53" s="258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</row>
    <row r="54" spans="1:43" s="135" customFormat="1" ht="19.95" customHeight="1" x14ac:dyDescent="0.25">
      <c r="A54" s="259" t="s">
        <v>17</v>
      </c>
      <c r="B54" s="255">
        <f>IF(AND($E26&lt;&gt;"",$D26=""),$E26,IF(AND($E26="",$D26&lt;&gt;""),$D26,IF(AND($E26="",$F26&lt;&gt;""),$F26,0)))</f>
        <v>0</v>
      </c>
      <c r="C54" s="260" t="s">
        <v>29</v>
      </c>
      <c r="D54" s="261">
        <f>$I$26</f>
        <v>0</v>
      </c>
      <c r="E54" s="260" t="s">
        <v>30</v>
      </c>
      <c r="F54" s="269">
        <f>IF((YEAR(K$50)-YEAR(X40))*12+MONTH(K$50)-MONTH(X40)&lt;0,0,(YEAR(K$50)-YEAR(X40))*12+MONTH(K$50)-MONTH(X40))</f>
        <v>71</v>
      </c>
      <c r="G54" s="260" t="s">
        <v>31</v>
      </c>
      <c r="H54" s="255" t="str">
        <f>IF(AND(D26&lt;=0,OR(X26=1,V54=FALSE)),"N/A",
IF($I26&lt;F54,B54,
(B54/D54)*F54))</f>
        <v>N/A</v>
      </c>
      <c r="I54" s="270"/>
      <c r="J54" s="270"/>
      <c r="K54" s="271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255" t="b">
        <f>AND(E26&gt;0,J26="Canadian",K26="No")</f>
        <v>0</v>
      </c>
      <c r="W54" s="256" t="str">
        <f>IF(X26&gt;0,"N/A",
IF(AND($E26&gt;0,K26="Yes"),"N/A (Dist. related to applicant)",
IF(AND($E26&gt;0,$X26=0,$J26="Canadian",$K26=""),"Missing Information",
IF(AND($E26&gt;0,$X26=0,$J26="",$K26&lt;&gt;"Yes"),"Missing Information",
IF(AND($E26&gt;0,$X26=0,$J26="Canadian",$K26="No"),"Total EDA (Can. Right)",
IF(D26&gt;0,"Total Licence",
IF(OR($J26="International",F26&gt;0),"N/A (Intl. Right)","")))))))</f>
        <v/>
      </c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</row>
    <row r="55" spans="1:43" s="135" customFormat="1" ht="19.95" customHeight="1" x14ac:dyDescent="0.25">
      <c r="A55" s="274"/>
      <c r="B55" s="257" t="str">
        <f>W54</f>
        <v/>
      </c>
      <c r="C55" s="273"/>
      <c r="D55" s="265" t="s">
        <v>33</v>
      </c>
      <c r="E55" s="273"/>
      <c r="F55" s="266" t="s">
        <v>34</v>
      </c>
      <c r="G55" s="264"/>
      <c r="H55" s="257" t="s">
        <v>35</v>
      </c>
      <c r="I55" s="267"/>
      <c r="J55" s="267"/>
      <c r="K55" s="268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257"/>
      <c r="W55" s="258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</row>
    <row r="56" spans="1:43" s="135" customFormat="1" ht="19.95" customHeight="1" x14ac:dyDescent="0.25">
      <c r="A56" s="259" t="s">
        <v>18</v>
      </c>
      <c r="B56" s="255">
        <f>IF(AND($E27&lt;&gt;"",$D27=""),$E27,IF(AND($E27="",$D27&lt;&gt;""),$D27,IF(AND($E27="",$F27&lt;&gt;""),$F27,0)))</f>
        <v>0</v>
      </c>
      <c r="C56" s="260" t="s">
        <v>29</v>
      </c>
      <c r="D56" s="269">
        <f>$I$27</f>
        <v>0</v>
      </c>
      <c r="E56" s="260" t="s">
        <v>30</v>
      </c>
      <c r="F56" s="269">
        <f>IF((YEAR(K$50)-YEAR(X41))*12+MONTH(K$50)-MONTH(X41)&lt;0,0,(YEAR(K$50)-YEAR(X41))*12+MONTH(K$50)-MONTH(X41))</f>
        <v>71</v>
      </c>
      <c r="G56" s="260" t="s">
        <v>31</v>
      </c>
      <c r="H56" s="255" t="str">
        <f>IF(AND(D27&lt;=0,OR(X27=1,V56=FALSE)),"N/A",
IF($I27&lt;F56,B56,
(B56/D56)*F56))</f>
        <v>N/A</v>
      </c>
      <c r="I56" s="270"/>
      <c r="J56" s="270"/>
      <c r="K56" s="271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255" t="b">
        <f>AND(E27&gt;0,J27="Canadian",K27="No")</f>
        <v>0</v>
      </c>
      <c r="W56" s="256" t="str">
        <f>IF(X27&gt;0,"N/A",
IF(AND($E27&gt;0,K27="Yes"),"N/A (Dist. related to applicant)",
IF(AND($E27&gt;0,$X27=0,$J27="Canadian",$K27=""),"Missing Information",
IF(AND($E27&gt;0,$X27=0,$J27="",$K27&lt;&gt;"Yes"),"Missing Information",
IF(AND($E27&gt;0,$X27=0,$J27="Canadian",$K27="No"),"Total EDA (Can. Right)",
IF(D27&gt;0,"Total Licence",
IF(OR($J27="International",F27&gt;0),"N/A (Intl. Right)","")))))))</f>
        <v/>
      </c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</row>
    <row r="57" spans="1:43" s="135" customFormat="1" ht="19.95" customHeight="1" x14ac:dyDescent="0.25">
      <c r="A57" s="263"/>
      <c r="B57" s="257" t="str">
        <f>$W56</f>
        <v/>
      </c>
      <c r="C57" s="273"/>
      <c r="D57" s="265" t="s">
        <v>33</v>
      </c>
      <c r="E57" s="273"/>
      <c r="F57" s="266" t="s">
        <v>34</v>
      </c>
      <c r="G57" s="264"/>
      <c r="H57" s="257" t="s">
        <v>35</v>
      </c>
      <c r="I57" s="267"/>
      <c r="J57" s="267"/>
      <c r="K57" s="268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257"/>
      <c r="W57" s="230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</row>
    <row r="58" spans="1:43" s="135" customFormat="1" ht="19.95" customHeight="1" x14ac:dyDescent="0.25">
      <c r="A58" s="259" t="s">
        <v>19</v>
      </c>
      <c r="B58" s="255">
        <f>IF(AND($E28&lt;&gt;"",$D28=""),$E28,IF(AND($E28="",$D28&lt;&gt;""),$D28,IF(AND($E28="",$F28&lt;&gt;""),$F28,0)))</f>
        <v>0</v>
      </c>
      <c r="C58" s="260" t="s">
        <v>29</v>
      </c>
      <c r="D58" s="269">
        <f>$I$28</f>
        <v>0</v>
      </c>
      <c r="E58" s="260" t="s">
        <v>30</v>
      </c>
      <c r="F58" s="269">
        <f>IF((YEAR(K$50)-YEAR(X42))*12+MONTH(K$50)-MONTH(X42)&lt;0,0,(YEAR(K$50)-YEAR(X42))*12+MONTH(K$50)-MONTH(X42))</f>
        <v>71</v>
      </c>
      <c r="G58" s="260" t="s">
        <v>31</v>
      </c>
      <c r="H58" s="255" t="str">
        <f>IF(AND(D28&lt;=0,OR(X28=1,V58=FALSE)),"N/A",
IF($I28&lt;F58,B58,
(B58/D58)*F58))</f>
        <v>N/A</v>
      </c>
      <c r="I58" s="270"/>
      <c r="J58" s="270"/>
      <c r="K58" s="271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255" t="b">
        <f>AND(E28&gt;0,J28="Canadian",K28="No")</f>
        <v>0</v>
      </c>
      <c r="W58" s="256" t="str">
        <f>IF(X28&gt;0,"N/A",
IF(AND($E28&gt;0,K28="Yes"),"N/A (Dist. related to applicant)",
IF(AND($E28&gt;0,$X28=0,$J28="Canadian",$K28=""),"Missing Information",
IF(AND($E28&gt;0,$X28=0,$J28="",$K28&lt;&gt;"Yes"),"Missing Information",
IF(AND($E28&gt;0,$X28=0,$J28="Canadian",$K28="No"),"Total EDA (Can. Right)",
IF(D28&gt;0,"Total Licence",
IF(OR($J28="International",F28&gt;0),"N/A (Intl. Right)","")))))))</f>
        <v/>
      </c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</row>
    <row r="59" spans="1:43" s="135" customFormat="1" ht="19.95" customHeight="1" x14ac:dyDescent="0.25">
      <c r="A59" s="272"/>
      <c r="B59" s="257" t="str">
        <f>$W58</f>
        <v/>
      </c>
      <c r="C59" s="273"/>
      <c r="D59" s="265" t="s">
        <v>33</v>
      </c>
      <c r="E59" s="273"/>
      <c r="F59" s="266" t="s">
        <v>34</v>
      </c>
      <c r="G59" s="264"/>
      <c r="H59" s="257" t="s">
        <v>35</v>
      </c>
      <c r="I59" s="267"/>
      <c r="J59" s="267"/>
      <c r="K59" s="268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257"/>
      <c r="W59" s="230"/>
      <c r="X59" s="13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</row>
    <row r="60" spans="1:43" s="135" customFormat="1" ht="19.95" customHeight="1" x14ac:dyDescent="0.25">
      <c r="A60" s="259" t="s">
        <v>20</v>
      </c>
      <c r="B60" s="255">
        <f>IF(AND($E29&lt;&gt;"",$D29=""),$E29,IF(AND($E29="",$D29&lt;&gt;""),$D29,IF(AND($E29="",$F29&lt;&gt;""),$F29,0)))</f>
        <v>0</v>
      </c>
      <c r="C60" s="260" t="s">
        <v>29</v>
      </c>
      <c r="D60" s="269">
        <f>$I$29</f>
        <v>0</v>
      </c>
      <c r="E60" s="260" t="s">
        <v>30</v>
      </c>
      <c r="F60" s="269">
        <f>IF((YEAR(K$50)-YEAR(X43))*12+MONTH(K$50)-MONTH(X43)&lt;0,0,(YEAR(K$50)-YEAR(X43))*12+MONTH(K$50)-MONTH(X43))</f>
        <v>71</v>
      </c>
      <c r="G60" s="260" t="s">
        <v>31</v>
      </c>
      <c r="H60" s="255" t="str">
        <f>IF(AND(D29&lt;=0,OR(X29=1,V60=FALSE)),"N/A",
IF($I29&lt;F60,B60,
(B60/D60)*F60))</f>
        <v>N/A</v>
      </c>
      <c r="I60" s="270"/>
      <c r="J60" s="270"/>
      <c r="K60" s="271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255" t="b">
        <f>AND(E29&gt;0,J29="Canadian",K29="No")</f>
        <v>0</v>
      </c>
      <c r="W60" s="256" t="str">
        <f>IF(X29&gt;0,"N/A",
IF(AND($E29&gt;0,K29="Yes"),"N/A (Dist. related to applicant)",
IF(AND($E29&gt;0,$X29=0,$J29="Canadian",$K29=""),"Missing Information",
IF(AND($E29&gt;0,$X29=0,$J29="",$K29&lt;&gt;"Yes"),"Missing Information",
IF(AND($E29&gt;0,$X29=0,$J29="Canadian",$K29="No"),"Total EDA (Can. Right)",
IF(D29&gt;0,"Total Licence",
IF(OR($J29="International",F29&gt;0),"N/A (Intl. Right)","")))))))</f>
        <v/>
      </c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</row>
    <row r="61" spans="1:43" s="135" customFormat="1" ht="19.95" customHeight="1" x14ac:dyDescent="0.25">
      <c r="A61" s="275"/>
      <c r="B61" s="276" t="str">
        <f>$W60</f>
        <v/>
      </c>
      <c r="C61" s="270"/>
      <c r="D61" s="265" t="s">
        <v>33</v>
      </c>
      <c r="E61" s="270"/>
      <c r="F61" s="265" t="s">
        <v>34</v>
      </c>
      <c r="G61" s="265"/>
      <c r="H61" s="276" t="s">
        <v>35</v>
      </c>
      <c r="I61" s="270"/>
      <c r="J61" s="270"/>
      <c r="K61" s="271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</row>
    <row r="62" spans="1:43" s="39" customFormat="1" ht="15.6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</row>
    <row r="63" spans="1:43" s="39" customFormat="1" ht="25.05" customHeight="1" x14ac:dyDescent="0.25">
      <c r="A63" s="289" t="s">
        <v>157</v>
      </c>
      <c r="B63" s="290"/>
      <c r="C63" s="290"/>
      <c r="D63" s="291"/>
      <c r="E63"/>
      <c r="F63"/>
      <c r="G63" s="286" t="s">
        <v>155</v>
      </c>
      <c r="H63"/>
      <c r="I63"/>
      <c r="J63"/>
      <c r="K63"/>
      <c r="L63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</row>
    <row r="64" spans="1:43" s="135" customFormat="1" ht="53.25" customHeight="1" x14ac:dyDescent="0.25">
      <c r="A64" s="216">
        <v>1</v>
      </c>
      <c r="B64" s="122" t="s">
        <v>36</v>
      </c>
      <c r="C64" s="152" t="s">
        <v>37</v>
      </c>
      <c r="D64" s="152" t="s">
        <v>38</v>
      </c>
      <c r="E64" s="152" t="s">
        <v>39</v>
      </c>
      <c r="F64" s="152" t="s">
        <v>40</v>
      </c>
      <c r="G64" s="194" t="s">
        <v>125</v>
      </c>
      <c r="H64" s="216"/>
      <c r="I64" s="217"/>
      <c r="J64" s="217"/>
      <c r="K64" s="217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</row>
    <row r="65" spans="1:49" s="135" customFormat="1" ht="15.6" hidden="1" x14ac:dyDescent="0.25">
      <c r="A65" s="35"/>
      <c r="B65" s="195"/>
      <c r="C65" s="196"/>
      <c r="D65" s="197"/>
      <c r="E65" s="196"/>
      <c r="F65" s="197"/>
      <c r="G65" s="198"/>
      <c r="H65" s="285" t="s">
        <v>140</v>
      </c>
      <c r="I65" s="217"/>
      <c r="J65" s="218"/>
      <c r="K65" s="35" t="s">
        <v>10</v>
      </c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</row>
    <row r="66" spans="1:49" s="135" customFormat="1" ht="39.9" customHeight="1" x14ac:dyDescent="0.25">
      <c r="A66" s="35"/>
      <c r="B66" s="199" t="s">
        <v>106</v>
      </c>
      <c r="C66" s="144" t="s">
        <v>107</v>
      </c>
      <c r="D66" s="200" t="str">
        <f>IF(A$64=2,IF($E$7*10%&gt;=90000,90000,ROUND($E$7*10%,0)),"N/A")</f>
        <v>N/A</v>
      </c>
      <c r="E66" s="166" t="str">
        <f>IF($D66="N/A","N/A",IF(ROUND($G$44+$H$44+$I$44,0)&gt;=ROUND($D66,0),"Yes","No"))</f>
        <v>N/A</v>
      </c>
      <c r="F66" s="200" t="str">
        <f>IF($E66="N/A","N/A",ROUND($G$44+$H$44+$I$44-$D66,0))</f>
        <v>N/A</v>
      </c>
      <c r="G66" s="201" t="str">
        <f>IF(D66="N/A","N/A",
IF(AND($A$64=2,F$30&gt;0,G$44+H$44&gt;=51%*D66),MAX(ROUND(D66-G$44-H$44,0),0),0))</f>
        <v>N/A</v>
      </c>
      <c r="H66" s="285" t="s">
        <v>141</v>
      </c>
      <c r="I66" s="217"/>
      <c r="J66" s="218"/>
      <c r="K66" s="35" t="s">
        <v>42</v>
      </c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</row>
    <row r="67" spans="1:49" s="164" customFormat="1" ht="39.9" customHeight="1" x14ac:dyDescent="0.25">
      <c r="A67" s="219"/>
      <c r="B67" s="202" t="s">
        <v>41</v>
      </c>
      <c r="C67" s="148">
        <v>0.15</v>
      </c>
      <c r="D67" s="200" t="str">
        <f>IF(A$64=3,ROUND(($E$7*C67),0),"N/A")</f>
        <v>N/A</v>
      </c>
      <c r="E67" s="166" t="str">
        <f>IF($D67="N/A","N/A",IF(ROUND($G$44+$H$44+$I$44,0)&gt;=ROUND($D67,0),"Yes","No"))</f>
        <v>N/A</v>
      </c>
      <c r="F67" s="200" t="str">
        <f>IF($E67="N/A","N/A",ROUND($G$44+$H$44+$I$44-$D67,0))</f>
        <v>N/A</v>
      </c>
      <c r="G67" s="201" t="str">
        <f>IF(D67="N/A","N/A",
IF(AND($A$64=3,F$30&gt;0,G$44+H$44&gt;=51%*D67),MAX(ROUND(D67-G$44-H$44,0),0),0))</f>
        <v>N/A</v>
      </c>
      <c r="H67" s="217"/>
      <c r="I67" s="217"/>
      <c r="J67" s="218"/>
      <c r="K67" s="217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</row>
    <row r="68" spans="1:49" s="72" customFormat="1" ht="24.9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</row>
    <row r="69" spans="1:49" s="72" customFormat="1" ht="15.6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1:49" s="72" customFormat="1" ht="15.6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1:49" s="72" customFormat="1" ht="15.6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1:49" s="72" customFormat="1" ht="24.9" hidden="1" customHeight="1" x14ac:dyDescent="0.25">
      <c r="A72"/>
      <c r="B72"/>
      <c r="C72"/>
      <c r="D72"/>
      <c r="E72"/>
      <c r="F72"/>
      <c r="G72" s="102"/>
      <c r="H72"/>
      <c r="I72"/>
      <c r="J72"/>
      <c r="K72"/>
      <c r="L7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</row>
    <row r="73" spans="1:49" s="73" customFormat="1" ht="15.6" hidden="1" x14ac:dyDescent="0.25">
      <c r="A73"/>
      <c r="B73"/>
      <c r="C73"/>
      <c r="D73"/>
      <c r="E73"/>
      <c r="F73"/>
      <c r="G73" s="102"/>
      <c r="H73"/>
      <c r="I73"/>
      <c r="J73"/>
      <c r="K73"/>
      <c r="L73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</row>
    <row r="74" spans="1:49" s="39" customFormat="1" ht="15.6" hidden="1" x14ac:dyDescent="0.25">
      <c r="A74" s="31"/>
      <c r="B74" s="31"/>
      <c r="C74" s="31"/>
      <c r="D74" s="31"/>
      <c r="E74"/>
      <c r="F74" s="31"/>
      <c r="G74" s="31"/>
      <c r="H74"/>
      <c r="I74"/>
      <c r="J74"/>
      <c r="K74"/>
      <c r="L74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</row>
    <row r="75" spans="1:49" s="72" customFormat="1" ht="18" hidden="1" customHeight="1" x14ac:dyDescent="0.25">
      <c r="C75" s="39"/>
      <c r="D75" s="39"/>
      <c r="E75" s="39"/>
      <c r="F75" s="39"/>
      <c r="G75" s="39"/>
      <c r="H75" s="39"/>
      <c r="I75" s="31"/>
      <c r="J75" s="31"/>
      <c r="K75" s="31"/>
      <c r="L75" s="31"/>
      <c r="M75" s="31"/>
      <c r="N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</row>
    <row r="76" spans="1:49" s="17" customFormat="1" ht="14.4" x14ac:dyDescent="0.25">
      <c r="A76" s="37" t="s">
        <v>43</v>
      </c>
      <c r="B76" s="38"/>
      <c r="C76" s="121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</row>
    <row r="77" spans="1:49" s="159" customFormat="1" ht="24.9" customHeight="1" x14ac:dyDescent="0.25">
      <c r="A77" s="149"/>
      <c r="B77" s="150"/>
      <c r="C77" s="412" t="s">
        <v>44</v>
      </c>
      <c r="D77" s="410"/>
      <c r="E77" s="401"/>
      <c r="F77" s="411" t="s">
        <v>92</v>
      </c>
      <c r="G77" s="410"/>
      <c r="H77" s="401"/>
      <c r="I77" s="409" t="s">
        <v>133</v>
      </c>
      <c r="J77" s="410"/>
      <c r="K77" s="401"/>
      <c r="L77"/>
      <c r="M77"/>
      <c r="N77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</row>
    <row r="78" spans="1:49" s="163" customFormat="1" ht="48" customHeight="1" x14ac:dyDescent="0.25">
      <c r="A78" s="406" t="s">
        <v>158</v>
      </c>
      <c r="B78" s="407"/>
      <c r="C78" s="152" t="s">
        <v>45</v>
      </c>
      <c r="D78" s="152" t="s">
        <v>46</v>
      </c>
      <c r="E78" s="152" t="s">
        <v>47</v>
      </c>
      <c r="F78" s="153" t="s">
        <v>48</v>
      </c>
      <c r="G78" s="153" t="s">
        <v>46</v>
      </c>
      <c r="H78" s="153" t="s">
        <v>47</v>
      </c>
      <c r="I78" s="154" t="s">
        <v>88</v>
      </c>
      <c r="J78" s="203" t="s">
        <v>46</v>
      </c>
      <c r="K78" s="203" t="s">
        <v>47</v>
      </c>
      <c r="L78"/>
      <c r="M78"/>
      <c r="N78"/>
      <c r="P78" s="161"/>
      <c r="Q78" s="161"/>
      <c r="R78" s="161"/>
      <c r="S78" s="162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</row>
    <row r="79" spans="1:49" s="135" customFormat="1" ht="38.549999999999997" customHeight="1" x14ac:dyDescent="0.25">
      <c r="A79" s="408" t="s">
        <v>159</v>
      </c>
      <c r="B79" s="401"/>
      <c r="C79" s="204" t="str">
        <f>IF(OR(A$64=2,A$64=3),IF($X$10&lt;&gt;"Yes",ROUND(N($F$79),0),MIN(ROUND(N($F$79)+N($I$79),0),ROUND(84%*$E$7,0))),
"N/A")</f>
        <v>N/A</v>
      </c>
      <c r="D79" s="157" t="str">
        <f>IF(OR(A$64=2,A$64=3),IF(OR($C$30&gt;C79,G79="No",J79="No"),"No","Yes"),
"N/A")</f>
        <v>N/A</v>
      </c>
      <c r="E79" s="146" t="str">
        <f>IF(D79="No",MAX($C$30+$E$13-C79,N(H79)+N(K79)),"N/A")</f>
        <v>N/A</v>
      </c>
      <c r="F79" s="146" t="str">
        <f>IF(OR(A$64=2,A$64=3),IF((0.49*$E$7)&lt;400000,ROUND((0.49*$E$7),0),400000),"N/A")</f>
        <v>N/A</v>
      </c>
      <c r="G79" s="157" t="str">
        <f>IF(OR(A$64=2,A$64=3),IF($E$17&gt;F79,"No","Yes"), "N/A")</f>
        <v>N/A</v>
      </c>
      <c r="H79" s="146" t="str">
        <f>IF(G79="No",$E$17-F79,"N/A")</f>
        <v>N/A</v>
      </c>
      <c r="I79" s="146" t="str">
        <f>IF(OR(A$64=2,A$64=3),
IF($X$10="Yes",MIN(ROUND(($F$10*$E$7),0),ROUND(84%*$E$7-$E$37,0)),
"N/A"),"N/A")</f>
        <v>N/A</v>
      </c>
      <c r="J79" s="157" t="str">
        <f>IF(I79="N/A","N/A",IF(OR(A$64=2,A$64=3),IF(X16&gt;I79,"No","Yes"), "N/A"))</f>
        <v>N/A</v>
      </c>
      <c r="K79" s="146" t="str">
        <f>IF(J79="No",$X$16-I79,"N/A")</f>
        <v>N/A</v>
      </c>
      <c r="L79"/>
      <c r="M79"/>
      <c r="N79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</row>
    <row r="80" spans="1:49" s="135" customFormat="1" ht="55.2" hidden="1" x14ac:dyDescent="0.25">
      <c r="A80" s="155" t="str">
        <f>B67</f>
        <v>Others POV Projects</v>
      </c>
      <c r="B80" s="156" t="s">
        <v>49</v>
      </c>
      <c r="C80" s="146" t="str">
        <f>IF(A$64=3,IF($X$10&lt;&gt;"Yes",IF($X$12&lt;&gt;"Yes",F80,MIN(F80+L80,ROUND(0.84*$E$7,0))),IF($X$12&lt;&gt;"Yes",MIN((F80+N(I80)),ROUND((0.84*$E$7),0)),MIN((N(F80)+N(I80)+N(L80)),ROUND((0.84*$E$7),0)))),"N/A")</f>
        <v>N/A</v>
      </c>
      <c r="D80" s="157" t="str">
        <f>IF($A$64=3,IF(OR($C$30+IF($X$12="Yes",$E$13,0)&gt;C80,G80="No",J80="No",M80="No"),"No","Yes"), "N/A")</f>
        <v>N/A</v>
      </c>
      <c r="E80" s="146" t="str">
        <f>IF(D80="No",MAX($C$30+$E$13-C80,N(H80)+N(K80)+N(N80)),"N/A")</f>
        <v>N/A</v>
      </c>
      <c r="F80" s="146" t="str">
        <f>IF(A$64=3,IF((0.49*$E$7)&lt;400000,ROUND((0.49*$E$7),0),400000),"N/A")</f>
        <v>N/A</v>
      </c>
      <c r="G80" s="157" t="str">
        <f>IF($A$64=3,IF($E$17&gt;F80,"No","Yes"), "N/A")</f>
        <v>N/A</v>
      </c>
      <c r="H80" s="146" t="str">
        <f>IF(G80="No",$E$17-F80,"N/A")</f>
        <v>N/A</v>
      </c>
      <c r="I80" s="146" t="str">
        <f>IF($A$64=3,IF($X$10="Yes",IF($H$64=4,ROUND(($F$10*$E$7),0)-$E$45,ROUND(($F$10*$E$7),0)),"N/A"),"N/A")</f>
        <v>N/A</v>
      </c>
      <c r="J80" s="157" t="str">
        <f>IF(I80="N/A","N/A",IF($A$64=3,IF($X$16&gt;I80,"No","Yes"), "N/A"))</f>
        <v>N/A</v>
      </c>
      <c r="K80" s="146" t="str">
        <f>IF(J80="No",$X$16-I80,"N/A")</f>
        <v>N/A</v>
      </c>
      <c r="L80"/>
      <c r="M80"/>
      <c r="N80"/>
      <c r="P80" s="134"/>
      <c r="Q80" s="134"/>
      <c r="R80" s="165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</row>
    <row r="81" spans="1:41" s="135" customFormat="1" ht="15.6" x14ac:dyDescent="0.25">
      <c r="A81" s="205"/>
      <c r="B81" s="205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</row>
    <row r="82" spans="1:41" s="135" customFormat="1" ht="15.6" x14ac:dyDescent="0.25">
      <c r="A82" s="205"/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</row>
    <row r="83" spans="1:41" s="135" customFormat="1" ht="15.6" x14ac:dyDescent="0.25">
      <c r="A83" s="205"/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</row>
    <row r="84" spans="1:41" s="135" customFormat="1" ht="15.6" x14ac:dyDescent="0.25">
      <c r="A84" s="205"/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</row>
    <row r="85" spans="1:41" s="135" customFormat="1" ht="15.6" x14ac:dyDescent="0.25">
      <c r="A85" s="205"/>
      <c r="B85" s="205"/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</row>
    <row r="86" spans="1:41" s="168" customFormat="1" ht="15.6" x14ac:dyDescent="0.25">
      <c r="A86" s="205"/>
      <c r="B86" s="205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</row>
    <row r="87" spans="1:41" s="135" customFormat="1" ht="15.6" x14ac:dyDescent="0.25">
      <c r="A87" s="134"/>
      <c r="B87" s="169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02"/>
      <c r="N87" s="102"/>
      <c r="O87" s="102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</row>
    <row r="88" spans="1:41" customFormat="1" ht="30" customHeight="1" x14ac:dyDescent="0.25"/>
    <row r="89" spans="1:41" customFormat="1" ht="30" customHeight="1" x14ac:dyDescent="0.25"/>
    <row r="90" spans="1:41" customFormat="1" ht="30" customHeight="1" x14ac:dyDescent="0.25"/>
    <row r="91" spans="1:41" s="39" customFormat="1" ht="15.6" x14ac:dyDescent="0.25">
      <c r="A91"/>
      <c r="B91"/>
      <c r="C91"/>
      <c r="D91"/>
      <c r="E91"/>
      <c r="F91"/>
      <c r="G91"/>
      <c r="H91" s="31"/>
      <c r="I91" s="31"/>
      <c r="J91" s="31"/>
      <c r="K91" s="31"/>
      <c r="L91" s="31"/>
      <c r="M91" s="43"/>
      <c r="N91" s="43"/>
      <c r="O91" s="43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</row>
    <row r="92" spans="1:41" x14ac:dyDescent="0.25">
      <c r="M92" s="43"/>
      <c r="N92" s="43"/>
      <c r="O92" s="43"/>
      <c r="AL92" s="68"/>
      <c r="AM92" s="68"/>
      <c r="AN92" s="68"/>
      <c r="AO92" s="68"/>
    </row>
    <row r="93" spans="1:41" x14ac:dyDescent="0.25">
      <c r="M93" s="43"/>
      <c r="N93" s="43"/>
      <c r="O93" s="43"/>
      <c r="AL93" s="68"/>
      <c r="AM93" s="68"/>
      <c r="AN93" s="68"/>
      <c r="AO93" s="68"/>
    </row>
    <row r="94" spans="1:41" x14ac:dyDescent="0.25">
      <c r="M94" s="43"/>
      <c r="N94" s="43"/>
      <c r="O94" s="43"/>
      <c r="AL94" s="68"/>
      <c r="AM94" s="68"/>
      <c r="AN94" s="68"/>
      <c r="AO94" s="68"/>
    </row>
    <row r="95" spans="1:41" x14ac:dyDescent="0.25">
      <c r="M95" s="43"/>
      <c r="N95" s="43"/>
      <c r="O95" s="43"/>
      <c r="AL95" s="68"/>
      <c r="AM95" s="68"/>
      <c r="AN95" s="68"/>
      <c r="AO95" s="68"/>
    </row>
    <row r="96" spans="1:41" x14ac:dyDescent="0.25">
      <c r="AL96" s="68"/>
      <c r="AM96" s="68"/>
      <c r="AN96" s="68"/>
      <c r="AO96" s="68"/>
    </row>
    <row r="97" spans="1:41" x14ac:dyDescent="0.25">
      <c r="AL97" s="68"/>
      <c r="AM97" s="68"/>
      <c r="AN97" s="68"/>
      <c r="AO97" s="68"/>
    </row>
    <row r="98" spans="1:41" x14ac:dyDescent="0.25">
      <c r="AL98" s="68"/>
      <c r="AM98" s="68"/>
      <c r="AN98" s="68"/>
      <c r="AO98" s="68"/>
    </row>
    <row r="99" spans="1:41" x14ac:dyDescent="0.25">
      <c r="AL99" s="68"/>
      <c r="AM99" s="68"/>
      <c r="AN99" s="68"/>
      <c r="AO99" s="68"/>
    </row>
    <row r="100" spans="1:41" x14ac:dyDescent="0.25">
      <c r="AL100" s="68"/>
      <c r="AM100" s="68"/>
      <c r="AN100" s="68"/>
      <c r="AO100" s="68"/>
    </row>
    <row r="101" spans="1:41" x14ac:dyDescent="0.25">
      <c r="AL101" s="68"/>
      <c r="AM101" s="68"/>
      <c r="AN101" s="68"/>
      <c r="AO101" s="68"/>
    </row>
    <row r="102" spans="1:41" x14ac:dyDescent="0.25">
      <c r="AL102" s="68"/>
      <c r="AM102" s="68"/>
      <c r="AN102" s="68"/>
      <c r="AO102" s="68"/>
    </row>
    <row r="103" spans="1:41" s="50" customFormat="1" x14ac:dyDescent="0.25">
      <c r="A103" s="1"/>
      <c r="B103" s="74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66"/>
      <c r="AM103" s="66"/>
      <c r="AN103" s="66"/>
      <c r="AO103" s="66"/>
    </row>
    <row r="104" spans="1:41" s="50" customFormat="1" x14ac:dyDescent="0.25">
      <c r="A104" s="1"/>
      <c r="B104" s="380"/>
      <c r="C104" s="380"/>
      <c r="D104" s="380"/>
      <c r="E104" s="1"/>
      <c r="F104" s="1"/>
      <c r="G104" s="1"/>
      <c r="H104" s="1"/>
      <c r="I104" s="1"/>
      <c r="J104" s="1"/>
      <c r="K104" s="1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66"/>
      <c r="AM104" s="66"/>
      <c r="AN104" s="66"/>
      <c r="AO104" s="66"/>
    </row>
    <row r="105" spans="1:41" s="50" customFormat="1" x14ac:dyDescent="0.25">
      <c r="A105" s="1"/>
      <c r="B105" s="379"/>
      <c r="C105" s="379"/>
      <c r="D105" s="379"/>
      <c r="E105" s="1"/>
      <c r="F105" s="1"/>
      <c r="G105" s="1"/>
      <c r="H105" s="1"/>
      <c r="I105" s="1"/>
      <c r="J105" s="1"/>
      <c r="K105" s="1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66"/>
      <c r="AM105" s="66"/>
      <c r="AN105" s="66"/>
      <c r="AO105" s="66"/>
    </row>
  </sheetData>
  <sheetProtection algorithmName="SHA-512" hashValue="ii6Fncys6BltUejEEDTxWN7CHSAIC+4BYYtFYpEZbXJ689VvXA5PRqzGvD4aarioE2rsy9sNuHA639dOQEsZMw==" saltValue="Hg2KNk+sXOX/f1GTnWPNUA==" spinCount="100000" sheet="1" objects="1" scenarios="1"/>
  <sortState xmlns:xlrd2="http://schemas.microsoft.com/office/spreadsheetml/2017/richdata2" ref="C37:D44">
    <sortCondition sortBy="icon" ref="C37"/>
  </sortState>
  <dataConsolidate/>
  <mergeCells count="29">
    <mergeCell ref="B14:D14"/>
    <mergeCell ref="B16:D16"/>
    <mergeCell ref="J22:K23"/>
    <mergeCell ref="I15:J15"/>
    <mergeCell ref="V12:W12"/>
    <mergeCell ref="B15:D15"/>
    <mergeCell ref="I50:J50"/>
    <mergeCell ref="A36:B36"/>
    <mergeCell ref="A78:B78"/>
    <mergeCell ref="A79:B79"/>
    <mergeCell ref="I77:K77"/>
    <mergeCell ref="F77:H77"/>
    <mergeCell ref="C77:E77"/>
    <mergeCell ref="B32:L33"/>
    <mergeCell ref="B105:D105"/>
    <mergeCell ref="B104:D104"/>
    <mergeCell ref="D1:K1"/>
    <mergeCell ref="A5:B5"/>
    <mergeCell ref="J2:K2"/>
    <mergeCell ref="B2:D2"/>
    <mergeCell ref="H2:I2"/>
    <mergeCell ref="F2:G2"/>
    <mergeCell ref="C10:D10"/>
    <mergeCell ref="C7:D7"/>
    <mergeCell ref="A32:A33"/>
    <mergeCell ref="C17:D17"/>
    <mergeCell ref="A30:B30"/>
    <mergeCell ref="I14:J14"/>
    <mergeCell ref="A21:B21"/>
  </mergeCells>
  <phoneticPr fontId="0" type="noConversion"/>
  <conditionalFormatting sqref="B50 B54 B56 B58 B60">
    <cfRule type="expression" dxfId="60" priority="30">
      <formula>B50=$W$50</formula>
    </cfRule>
  </conditionalFormatting>
  <conditionalFormatting sqref="B51 B53 B55 B57 B59 B61">
    <cfRule type="containsText" dxfId="59" priority="15" operator="containsText" text="Missing Information">
      <formula>NOT(ISERROR(SEARCH("Missing Information",B51)))</formula>
    </cfRule>
    <cfRule type="containsText" dxfId="58" priority="23" operator="containsText" text="N/A">
      <formula>NOT(ISERROR(SEARCH("N/A",B51)))</formula>
    </cfRule>
  </conditionalFormatting>
  <conditionalFormatting sqref="B51">
    <cfRule type="expression" dxfId="57" priority="29">
      <formula>B51=$W$49</formula>
    </cfRule>
  </conditionalFormatting>
  <conditionalFormatting sqref="B52">
    <cfRule type="expression" dxfId="56" priority="31">
      <formula>B52=$W$50</formula>
    </cfRule>
  </conditionalFormatting>
  <conditionalFormatting sqref="B53">
    <cfRule type="expression" dxfId="55" priority="28">
      <formula>B53=$W$49</formula>
    </cfRule>
  </conditionalFormatting>
  <conditionalFormatting sqref="B55">
    <cfRule type="expression" dxfId="54" priority="27">
      <formula>B55=$W$49</formula>
    </cfRule>
  </conditionalFormatting>
  <conditionalFormatting sqref="B57">
    <cfRule type="expression" dxfId="53" priority="26">
      <formula>B57=$W$49</formula>
    </cfRule>
  </conditionalFormatting>
  <conditionalFormatting sqref="B59">
    <cfRule type="expression" dxfId="52" priority="25">
      <formula>B59=$W$49</formula>
    </cfRule>
  </conditionalFormatting>
  <conditionalFormatting sqref="B61">
    <cfRule type="expression" dxfId="51" priority="24">
      <formula>B61=$W$49</formula>
    </cfRule>
  </conditionalFormatting>
  <conditionalFormatting sqref="D63">
    <cfRule type="containsText" dxfId="50" priority="14" operator="containsText" text="(4) The indicated Market Contribution exceeds the Maximal Market Contribution.">
      <formula>NOT(ISERROR(SEARCH("(4) The indicated Market Contribution exceeds the Maximal Market Contribution.",D63)))</formula>
    </cfRule>
  </conditionalFormatting>
  <conditionalFormatting sqref="D79:D80">
    <cfRule type="containsText" dxfId="49" priority="43" operator="containsText" text="No">
      <formula>NOT(ISERROR(SEARCH("No",D79)))</formula>
    </cfRule>
  </conditionalFormatting>
  <conditionalFormatting sqref="D24:E24 D25:F29">
    <cfRule type="expression" dxfId="48" priority="1">
      <formula>$X24=1</formula>
    </cfRule>
  </conditionalFormatting>
  <conditionalFormatting sqref="E16">
    <cfRule type="containsText" dxfId="47" priority="41" operator="containsText" text="Non">
      <formula>NOT(ISERROR(SEARCH("Non",E16)))</formula>
    </cfRule>
  </conditionalFormatting>
  <conditionalFormatting sqref="E66:E67">
    <cfRule type="containsText" dxfId="46" priority="45" operator="containsText" text="No">
      <formula>NOT(ISERROR(SEARCH("No",E66)))</formula>
    </cfRule>
  </conditionalFormatting>
  <conditionalFormatting sqref="G79:G80 J79:J80">
    <cfRule type="containsText" dxfId="45" priority="46" operator="containsText" text="No">
      <formula>NOT(ISERROR(SEARCH("No",G79)))</formula>
    </cfRule>
  </conditionalFormatting>
  <conditionalFormatting sqref="H50">
    <cfRule type="expression" dxfId="44" priority="21">
      <formula>H50=$W$50</formula>
    </cfRule>
  </conditionalFormatting>
  <conditionalFormatting sqref="H51">
    <cfRule type="expression" dxfId="43" priority="36">
      <formula>H50&lt;B50</formula>
    </cfRule>
  </conditionalFormatting>
  <conditionalFormatting sqref="H52">
    <cfRule type="expression" dxfId="42" priority="20">
      <formula>H52=$W$50</formula>
    </cfRule>
  </conditionalFormatting>
  <conditionalFormatting sqref="H53">
    <cfRule type="expression" dxfId="41" priority="35">
      <formula>H52&lt;B52</formula>
    </cfRule>
  </conditionalFormatting>
  <conditionalFormatting sqref="H54">
    <cfRule type="expression" dxfId="40" priority="19">
      <formula>H54=$W$50</formula>
    </cfRule>
  </conditionalFormatting>
  <conditionalFormatting sqref="H55">
    <cfRule type="expression" dxfId="39" priority="34">
      <formula>H54&lt;B54</formula>
    </cfRule>
  </conditionalFormatting>
  <conditionalFormatting sqref="H56">
    <cfRule type="expression" dxfId="38" priority="18">
      <formula>H56=$W$50</formula>
    </cfRule>
  </conditionalFormatting>
  <conditionalFormatting sqref="H57">
    <cfRule type="expression" dxfId="37" priority="33">
      <formula>H56&lt;B56</formula>
    </cfRule>
  </conditionalFormatting>
  <conditionalFormatting sqref="H58">
    <cfRule type="expression" dxfId="36" priority="17">
      <formula>H58=$W$50</formula>
    </cfRule>
  </conditionalFormatting>
  <conditionalFormatting sqref="H59">
    <cfRule type="expression" dxfId="35" priority="32">
      <formula>H58&lt;B58</formula>
    </cfRule>
  </conditionalFormatting>
  <conditionalFormatting sqref="H60">
    <cfRule type="expression" dxfId="34" priority="16">
      <formula>H60=$W$50</formula>
    </cfRule>
  </conditionalFormatting>
  <conditionalFormatting sqref="H61">
    <cfRule type="expression" dxfId="33" priority="22">
      <formula>H60&lt;B60</formula>
    </cfRule>
  </conditionalFormatting>
  <conditionalFormatting sqref="J24:K29">
    <cfRule type="expression" dxfId="32" priority="6">
      <formula>$D24&gt;0</formula>
    </cfRule>
  </conditionalFormatting>
  <dataValidations xWindow="1414" yWindow="775" count="15">
    <dataValidation type="decimal" allowBlank="1" showErrorMessage="1" errorTitle="Not a number" error="Enter the Envelope Contribution for this licence" sqref="C29" xr:uid="{11B3DCD0-3A71-485C-B979-F1AF28FA917E}">
      <formula1>0</formula1>
      <formula2>999999999999999</formula2>
    </dataValidation>
    <dataValidation type="whole" allowBlank="1" showInputMessage="1" showErrorMessage="1" promptTitle="# of months" prompt="Enter the licence term in months. Equations are allowable (i.e. =6*12)" sqref="I24:I29" xr:uid="{276CB89B-345A-4DD3-9FCE-8803EC0BC5D1}">
      <formula1>1</formula1>
      <formula2>999</formula2>
    </dataValidation>
    <dataValidation allowBlank="1" showInputMessage="1" showErrorMessage="1" promptTitle="# of Months" prompt="Enter adjusted exclusivity in &quot;number of months&quot;." sqref="W38:W43" xr:uid="{4726523A-1035-4AD3-82A1-7C7322FD0076}"/>
    <dataValidation type="decimal" allowBlank="1" showInputMessage="1" showErrorMessage="1" errorTitle="Not a number" error="Enter the Envelope Contribution for this licence" sqref="C24:C27" xr:uid="{848A4728-AECD-4045-8959-87FBB93539E5}">
      <formula1>0</formula1>
      <formula2>999999999999999</formula2>
    </dataValidation>
    <dataValidation type="whole" allowBlank="1" showInputMessage="1" showErrorMessage="1" errorTitle="Not a number" error="Enter the Envelope Contribution for this licence" sqref="G45 E38:E44" xr:uid="{0A3E8745-62A9-4585-ADF9-FB3CC905544E}">
      <formula1>0</formula1>
      <formula2>999999999999999</formula2>
    </dataValidation>
    <dataValidation type="custom" showInputMessage="1" showErrorMessage="1" error="Please do not delete" sqref="A64 H64" xr:uid="{71B8BB65-7E19-41FB-BD2A-9BD76B5AB64E}">
      <formula1>""</formula1>
    </dataValidation>
    <dataValidation type="whole" allowBlank="1" showInputMessage="1" showErrorMessage="1" sqref="V24:V29" xr:uid="{F9D41B4F-B8E8-434F-B1F7-A764E8FE428D}">
      <formula1>0</formula1>
      <formula2>999</formula2>
    </dataValidation>
    <dataValidation type="list" allowBlank="1" showInputMessage="1" showErrorMessage="1" sqref="J24:J29" xr:uid="{D02FDF10-B403-492C-AB96-D140E3C079EA}">
      <formula1>$H$64:$H$66</formula1>
    </dataValidation>
    <dataValidation type="list" allowBlank="1" showInputMessage="1" showErrorMessage="1" sqref="K26" xr:uid="{D66E2AC4-1DEA-4BED-AE06-16BEB711A54D}">
      <formula1>M66:M68</formula1>
    </dataValidation>
    <dataValidation type="list" allowBlank="1" showInputMessage="1" showErrorMessage="1" sqref="E10" xr:uid="{3EBC982A-290F-41DD-A9C7-403C85C6E798}">
      <formula1>$K$65:$K$66</formula1>
    </dataValidation>
    <dataValidation type="list" allowBlank="1" showInputMessage="1" showErrorMessage="1" sqref="X12" xr:uid="{259EF35F-C8D9-4E44-BBF5-D0D6CA7951E9}">
      <formula1>$K$65:$K$67</formula1>
    </dataValidation>
    <dataValidation type="list" allowBlank="1" showInputMessage="1" showErrorMessage="1" sqref="K24:K25" xr:uid="{E0EBBFE8-8582-4E7E-8271-6B760740BE3D}">
      <formula1>K64:K66</formula1>
    </dataValidation>
    <dataValidation type="date" allowBlank="1" showInputMessage="1" showErrorMessage="1" promptTitle="Date" prompt="ex. A-M-J" sqref="G24:G29" xr:uid="{36971F77-1FB0-4647-8FF5-CF457C23733A}">
      <formula1>36526</formula1>
      <formula2>401749</formula2>
    </dataValidation>
    <dataValidation type="list" allowBlank="1" showInputMessage="1" showErrorMessage="1" sqref="K27:K29" xr:uid="{C0A498F5-6702-4036-8C4F-F86EC28D32CB}">
      <formula1>$K$64:$K$66</formula1>
    </dataValidation>
    <dataValidation allowBlank="1" showInputMessage="1" showErrorMessage="1" prompt="Please enter first broadcasters and distributors, see note (1) here-above" sqref="F24" xr:uid="{85C7C6B8-2582-4029-AA05-6AE2B8486258}"/>
  </dataValidations>
  <printOptions horizontalCentered="1"/>
  <pageMargins left="0.6692913385826772" right="0.6692913385826772" top="0.59055118110236227" bottom="0.6692913385826772" header="0.51181102362204722" footer="0.51181102362204722"/>
  <pageSetup scale="63" fitToHeight="3" orientation="landscape" r:id="rId1"/>
  <headerFooter alignWithMargins="0"/>
  <rowBreaks count="2" manualBreakCount="2">
    <brk id="34" max="14" man="1"/>
    <brk id="75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0" r:id="rId4" name="Drop Down 76">
              <controlPr locked="0" defaultSize="0" autoLine="0" autoPict="0">
                <anchor moveWithCells="1">
                  <from>
                    <xdr:col>2</xdr:col>
                    <xdr:colOff>76200</xdr:colOff>
                    <xdr:row>4</xdr:row>
                    <xdr:rowOff>7620</xdr:rowOff>
                  </from>
                  <to>
                    <xdr:col>5</xdr:col>
                    <xdr:colOff>304800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FC5B6-0061-4B4E-8807-37ED1BE1E32B}">
  <sheetPr>
    <tabColor rgb="FFFF0000"/>
  </sheetPr>
  <dimension ref="A1:AW95"/>
  <sheetViews>
    <sheetView zoomScaleNormal="100" zoomScaleSheetLayoutView="100" workbookViewId="0">
      <selection activeCell="B2" sqref="B2:D2"/>
    </sheetView>
  </sheetViews>
  <sheetFormatPr baseColWidth="10" defaultColWidth="8.90625" defaultRowHeight="15" x14ac:dyDescent="0.25"/>
  <cols>
    <col min="1" max="1" width="5.7265625" style="1" customWidth="1"/>
    <col min="2" max="2" width="17.453125" style="3" customWidth="1"/>
    <col min="3" max="5" width="12.6328125" style="1" customWidth="1"/>
    <col min="6" max="6" width="11.81640625" style="1" customWidth="1"/>
    <col min="7" max="7" width="11.08984375" style="1" customWidth="1"/>
    <col min="8" max="8" width="10.90625" style="1" customWidth="1"/>
    <col min="9" max="9" width="11.08984375" style="1" customWidth="1"/>
    <col min="10" max="10" width="12.6328125" style="1" customWidth="1"/>
    <col min="11" max="11" width="12.26953125" style="1" customWidth="1"/>
    <col min="12" max="12" width="12.36328125" style="1" customWidth="1"/>
    <col min="13" max="21" width="1.08984375" style="1" hidden="1" customWidth="1"/>
    <col min="22" max="22" width="8.7265625" style="1" hidden="1" customWidth="1"/>
    <col min="23" max="23" width="64.7265625" style="1" hidden="1" customWidth="1"/>
    <col min="24" max="24" width="18.6328125" style="1" hidden="1" customWidth="1"/>
    <col min="25" max="25" width="8.90625" style="1" hidden="1" customWidth="1"/>
    <col min="26" max="26" width="109" style="1" hidden="1" customWidth="1"/>
    <col min="27" max="41" width="8.90625" style="1"/>
    <col min="42" max="16384" width="8.90625" style="64"/>
  </cols>
  <sheetData>
    <row r="1" spans="1:47" ht="70.2" customHeight="1" thickBot="1" x14ac:dyDescent="0.3">
      <c r="A1" s="2"/>
      <c r="B1" s="62"/>
      <c r="C1" s="423" t="s">
        <v>181</v>
      </c>
      <c r="D1" s="423"/>
      <c r="E1" s="423"/>
      <c r="F1" s="423"/>
      <c r="G1" s="423"/>
      <c r="H1" s="423"/>
      <c r="I1" s="423"/>
      <c r="J1" s="423"/>
      <c r="K1" s="423"/>
      <c r="AP1" s="68"/>
      <c r="AQ1" s="68"/>
      <c r="AR1" s="68"/>
      <c r="AS1" s="68"/>
      <c r="AT1" s="68"/>
      <c r="AU1" s="68"/>
    </row>
    <row r="2" spans="1:47" s="65" customFormat="1" ht="34.950000000000003" customHeight="1" thickBot="1" x14ac:dyDescent="0.3">
      <c r="A2" s="103" t="s">
        <v>50</v>
      </c>
      <c r="B2" s="386"/>
      <c r="C2" s="424"/>
      <c r="D2" s="425"/>
      <c r="E2" s="59" t="s">
        <v>51</v>
      </c>
      <c r="F2" s="386"/>
      <c r="G2" s="426"/>
      <c r="H2" s="427" t="s">
        <v>2</v>
      </c>
      <c r="I2" s="427"/>
      <c r="J2" s="428"/>
      <c r="K2" s="4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84"/>
      <c r="AO2" s="84"/>
      <c r="AP2" s="84"/>
      <c r="AQ2" s="84"/>
      <c r="AR2" s="84"/>
      <c r="AS2" s="84"/>
      <c r="AT2" s="84"/>
      <c r="AU2" s="84"/>
    </row>
    <row r="3" spans="1:47" s="65" customFormat="1" ht="21" x14ac:dyDescent="0.25">
      <c r="A3" s="76" t="s">
        <v>52</v>
      </c>
      <c r="B3" s="51"/>
      <c r="C3" s="52"/>
      <c r="D3" s="4"/>
      <c r="E3" s="85"/>
      <c r="F3" s="5"/>
      <c r="G3" s="6"/>
      <c r="H3" s="85"/>
      <c r="I3" s="5"/>
      <c r="J3" s="7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84"/>
      <c r="AP3" s="84"/>
      <c r="AQ3" s="84"/>
      <c r="AR3" s="84"/>
      <c r="AS3" s="84"/>
      <c r="AT3" s="84"/>
      <c r="AU3" s="84"/>
    </row>
    <row r="4" spans="1:47" x14ac:dyDescent="0.25">
      <c r="A4" s="7"/>
      <c r="B4" s="20"/>
      <c r="C4" s="21"/>
      <c r="D4" s="8"/>
      <c r="E4" s="8"/>
      <c r="F4" s="8"/>
      <c r="G4" s="9"/>
      <c r="H4" s="10"/>
      <c r="I4" s="68"/>
      <c r="K4" s="68"/>
      <c r="AP4" s="68"/>
      <c r="AQ4" s="68"/>
      <c r="AR4" s="68"/>
      <c r="AS4" s="68"/>
      <c r="AT4" s="68"/>
      <c r="AU4" s="68"/>
    </row>
    <row r="5" spans="1:47" ht="30" customHeight="1" x14ac:dyDescent="0.25">
      <c r="A5" s="430" t="s">
        <v>53</v>
      </c>
      <c r="B5" s="431"/>
      <c r="C5" s="86"/>
      <c r="D5" s="86"/>
      <c r="E5" s="86"/>
      <c r="F5" s="87"/>
      <c r="G5" s="68"/>
      <c r="M5" s="68"/>
      <c r="AP5" s="68"/>
      <c r="AQ5" s="68"/>
      <c r="AR5" s="68"/>
      <c r="AS5" s="68"/>
      <c r="AT5" s="68"/>
      <c r="AU5" s="68"/>
    </row>
    <row r="6" spans="1:47" x14ac:dyDescent="0.25">
      <c r="A6" s="22"/>
      <c r="B6" s="23"/>
      <c r="C6" s="86"/>
      <c r="D6" s="86"/>
      <c r="E6" s="86"/>
      <c r="F6" s="87"/>
      <c r="G6" s="68"/>
      <c r="M6" s="68"/>
      <c r="AP6" s="68"/>
      <c r="AQ6" s="68"/>
      <c r="AR6" s="68"/>
      <c r="AS6" s="68"/>
      <c r="AT6" s="68"/>
      <c r="AU6" s="68"/>
    </row>
    <row r="7" spans="1:47" s="67" customFormat="1" ht="36.75" customHeight="1" x14ac:dyDescent="0.25">
      <c r="A7" s="11"/>
      <c r="B7" s="15"/>
      <c r="C7" s="438" t="s">
        <v>54</v>
      </c>
      <c r="D7" s="398"/>
      <c r="E7" s="107"/>
      <c r="F7" s="82" t="s">
        <v>55</v>
      </c>
      <c r="G7" s="55"/>
      <c r="H7" s="82" t="s">
        <v>56</v>
      </c>
      <c r="I7" s="55"/>
      <c r="J7" s="83" t="s">
        <v>57</v>
      </c>
      <c r="K7" s="56">
        <f>(G7*I7)/60</f>
        <v>0</v>
      </c>
      <c r="L7" s="66"/>
      <c r="M7" s="1"/>
      <c r="N7" s="1"/>
      <c r="O7" s="1"/>
      <c r="P7" s="1"/>
      <c r="Q7" s="12"/>
      <c r="R7" s="12"/>
      <c r="S7" s="12"/>
      <c r="T7" s="12"/>
      <c r="U7" s="12"/>
      <c r="V7" s="12"/>
      <c r="W7" s="13"/>
      <c r="X7" s="13"/>
      <c r="Y7" s="12"/>
      <c r="Z7" s="14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7" x14ac:dyDescent="0.25">
      <c r="A8" s="7"/>
      <c r="B8" s="20"/>
      <c r="C8" s="21"/>
      <c r="D8" s="8"/>
      <c r="E8" s="115"/>
      <c r="F8" s="8"/>
      <c r="G8" s="9"/>
      <c r="H8" s="20"/>
      <c r="I8" s="9"/>
      <c r="J8" s="9"/>
      <c r="K8" s="57"/>
      <c r="L8" s="9"/>
      <c r="AP8" s="68"/>
      <c r="AQ8" s="68"/>
      <c r="AR8" s="68"/>
      <c r="AS8" s="68"/>
      <c r="AT8" s="68"/>
      <c r="AU8" s="68"/>
    </row>
    <row r="9" spans="1:47" s="67" customFormat="1" ht="15.6" hidden="1" x14ac:dyDescent="0.25">
      <c r="A9" s="11"/>
      <c r="B9" s="15"/>
      <c r="L9" s="20"/>
      <c r="M9" s="20"/>
      <c r="N9" s="20"/>
      <c r="O9" s="66"/>
      <c r="P9" s="1"/>
      <c r="Q9" s="1"/>
      <c r="R9" s="1"/>
      <c r="S9" s="1"/>
      <c r="T9" s="12"/>
      <c r="U9" s="12"/>
      <c r="V9" s="12"/>
      <c r="W9" s="12"/>
      <c r="X9" s="12"/>
      <c r="Y9" s="12"/>
      <c r="Z9" s="13"/>
      <c r="AA9" s="13"/>
      <c r="AB9" s="12"/>
      <c r="AC9" s="14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7" s="67" customFormat="1" ht="30" customHeight="1" x14ac:dyDescent="0.25">
      <c r="A10" s="11"/>
      <c r="B10" s="15"/>
      <c r="C10" s="439" t="s">
        <v>108</v>
      </c>
      <c r="D10" s="440"/>
      <c r="E10" s="105"/>
      <c r="F10" s="24">
        <f>IF(E10="Oui",60%,49%)</f>
        <v>0.49</v>
      </c>
      <c r="G10" s="8"/>
      <c r="J10" s="75" t="s">
        <v>59</v>
      </c>
      <c r="K10" s="77">
        <f>IF($K$7=0,0,$E$7/$K$7)</f>
        <v>0</v>
      </c>
      <c r="L10" s="10"/>
      <c r="M10" s="20"/>
      <c r="N10" s="20"/>
      <c r="O10" s="66"/>
      <c r="P10" s="1"/>
      <c r="Q10" s="1"/>
      <c r="R10" s="1"/>
      <c r="S10" s="1"/>
      <c r="T10" s="12"/>
      <c r="U10" s="12"/>
      <c r="W10" s="368" t="s">
        <v>170</v>
      </c>
      <c r="X10" s="117">
        <f>IF(SUM($C$24:$C$29)&gt;0,"Oui",0)</f>
        <v>0</v>
      </c>
      <c r="Y10" s="12"/>
      <c r="Z10" s="13"/>
      <c r="AA10" s="13"/>
      <c r="AB10" s="12"/>
      <c r="AC10" s="14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7" s="67" customFormat="1" ht="15.6" x14ac:dyDescent="0.25">
      <c r="A11" s="11"/>
      <c r="B11" s="11"/>
      <c r="C11"/>
      <c r="D11"/>
      <c r="E11" s="116"/>
      <c r="F11"/>
      <c r="G11"/>
      <c r="H11"/>
      <c r="L11" s="10"/>
      <c r="M11" s="20"/>
      <c r="N11" s="20"/>
      <c r="O11" s="66"/>
      <c r="P11" s="1"/>
      <c r="Q11" s="1"/>
      <c r="R11" s="1"/>
      <c r="S11" s="1"/>
      <c r="T11" s="12"/>
      <c r="U11" s="12"/>
      <c r="Z11" s="13"/>
      <c r="AA11" s="13"/>
      <c r="AB11" s="12"/>
      <c r="AC11" s="14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7" x14ac:dyDescent="0.25">
      <c r="A12" s="18"/>
      <c r="B12" s="15"/>
      <c r="G12" s="9"/>
      <c r="H12" s="68"/>
      <c r="I12" s="68"/>
      <c r="J12" s="68"/>
      <c r="K12" s="68"/>
      <c r="L12" s="8"/>
      <c r="M12" s="8"/>
      <c r="N12" s="9"/>
      <c r="AP12" s="1"/>
      <c r="AQ12" s="1"/>
      <c r="AR12" s="1"/>
      <c r="AS12" s="68"/>
      <c r="AT12" s="68"/>
      <c r="AU12" s="68"/>
    </row>
    <row r="13" spans="1:47" hidden="1" x14ac:dyDescent="0.25">
      <c r="A13" s="19"/>
      <c r="B13" s="15"/>
      <c r="C13" s="68"/>
      <c r="D13" s="68"/>
      <c r="E13"/>
      <c r="H13" s="68"/>
      <c r="M13" s="9"/>
      <c r="N13" s="10"/>
      <c r="AP13" s="1"/>
      <c r="AQ13" s="1"/>
      <c r="AR13" s="1"/>
      <c r="AS13" s="1"/>
      <c r="AT13" s="1"/>
      <c r="AU13" s="1"/>
    </row>
    <row r="14" spans="1:47" ht="30" customHeight="1" x14ac:dyDescent="0.25">
      <c r="A14" s="457" t="s">
        <v>183</v>
      </c>
      <c r="B14" s="458"/>
      <c r="C14" s="458"/>
      <c r="D14" s="459"/>
      <c r="E14" s="366"/>
      <c r="F14" s="364"/>
      <c r="G14" s="9"/>
      <c r="I14" s="451" t="s">
        <v>61</v>
      </c>
      <c r="J14" s="452"/>
      <c r="K14" s="183" t="str">
        <f>IF(OR(K10=0,N(E$7=0)),"",IF(K10&gt;=400000,"Oui","Non"))</f>
        <v/>
      </c>
      <c r="L14" s="184" t="str">
        <f>IFERROR(IF(K14="Oui","S/O pour les productions d’animation",""),"")</f>
        <v/>
      </c>
      <c r="O14" s="16"/>
      <c r="W14" s="368" t="s">
        <v>60</v>
      </c>
      <c r="X14" s="211"/>
      <c r="AN14" s="68"/>
      <c r="AO14" s="68"/>
      <c r="AP14" s="68"/>
      <c r="AQ14" s="68"/>
      <c r="AR14" s="68"/>
      <c r="AS14" s="68"/>
      <c r="AT14" s="68"/>
      <c r="AU14" s="68"/>
    </row>
    <row r="15" spans="1:47" ht="30" customHeight="1" x14ac:dyDescent="0.25">
      <c r="A15" s="68"/>
      <c r="B15" s="445" t="s">
        <v>177</v>
      </c>
      <c r="C15" s="446"/>
      <c r="D15" s="447"/>
      <c r="E15" s="324" t="str">
        <f>IF($E$7&gt;0,$E$7*1%,"")</f>
        <v/>
      </c>
      <c r="G15" s="68"/>
      <c r="I15" s="455" t="s">
        <v>113</v>
      </c>
      <c r="J15" s="456"/>
      <c r="K15" s="56" t="str">
        <f>IF(N(E$7)=0,"",IF(E$7&gt;500000,"Oui","Non"))</f>
        <v/>
      </c>
      <c r="L15" s="184" t="str">
        <f>IFERROR(IF(K15="Oui","S/O pour les productions tournées en direct",""),"")</f>
        <v/>
      </c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</row>
    <row r="16" spans="1:47" ht="30" customHeight="1" x14ac:dyDescent="0.25">
      <c r="A16" s="68"/>
      <c r="B16" s="413" t="s">
        <v>188</v>
      </c>
      <c r="C16" s="414"/>
      <c r="D16" s="415"/>
      <c r="E16" s="325" t="str">
        <f>IF(E15="","",E14-E15)</f>
        <v/>
      </c>
      <c r="G16" s="68"/>
      <c r="K16" s="16"/>
      <c r="N16" s="69"/>
      <c r="W16" s="368" t="s">
        <v>176</v>
      </c>
      <c r="X16" s="118">
        <f>C30-E17</f>
        <v>0</v>
      </c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</row>
    <row r="17" spans="1:42" ht="30" customHeight="1" x14ac:dyDescent="0.25">
      <c r="A17" s="68"/>
      <c r="B17" s="397" t="s">
        <v>96</v>
      </c>
      <c r="C17" s="453"/>
      <c r="D17" s="454"/>
      <c r="E17" s="107"/>
      <c r="G17" s="68"/>
      <c r="K17" s="16"/>
      <c r="AJ17" s="68"/>
      <c r="AK17" s="68"/>
      <c r="AL17" s="68"/>
      <c r="AM17" s="68"/>
      <c r="AN17" s="68"/>
      <c r="AO17" s="68"/>
    </row>
    <row r="18" spans="1:42" ht="15" customHeight="1" x14ac:dyDescent="0.25">
      <c r="B18" s="78"/>
      <c r="C18" s="79"/>
      <c r="D18" s="80"/>
      <c r="E18" s="88"/>
      <c r="F18" s="89"/>
      <c r="G18" s="68"/>
      <c r="K18" s="16"/>
      <c r="AJ18" s="68"/>
      <c r="AK18" s="68"/>
      <c r="AL18" s="68"/>
      <c r="AM18" s="68"/>
      <c r="AN18" s="68"/>
      <c r="AO18" s="68"/>
    </row>
    <row r="19" spans="1:42" x14ac:dyDescent="0.25">
      <c r="A19" s="93"/>
      <c r="B19" s="94"/>
      <c r="C19" s="94"/>
      <c r="D19" s="94"/>
      <c r="E19" s="94"/>
      <c r="F19" s="94"/>
      <c r="G19" s="68"/>
      <c r="K19" s="16"/>
      <c r="L19"/>
      <c r="AK19" s="68"/>
      <c r="AL19" s="68"/>
      <c r="AM19" s="68"/>
      <c r="AN19" s="68"/>
      <c r="AO19" s="68"/>
      <c r="AP19" s="68"/>
    </row>
    <row r="20" spans="1:42" s="362" customFormat="1" ht="12" x14ac:dyDescent="0.2">
      <c r="A20" s="356" t="s">
        <v>186</v>
      </c>
      <c r="B20" s="306"/>
      <c r="C20" s="306"/>
      <c r="D20" s="357"/>
      <c r="E20" s="358"/>
      <c r="F20" s="358"/>
      <c r="G20" s="359"/>
      <c r="H20" s="306"/>
      <c r="I20" s="360"/>
      <c r="J20" s="360"/>
      <c r="K20" s="360"/>
      <c r="L20" s="360"/>
      <c r="M20" s="304"/>
      <c r="N20" s="304"/>
      <c r="O20" s="304"/>
      <c r="P20" s="304"/>
      <c r="Q20" s="304"/>
      <c r="R20" s="304"/>
      <c r="S20" s="361"/>
      <c r="T20" s="361"/>
      <c r="U20" s="361"/>
      <c r="V20" s="361"/>
      <c r="W20" s="361"/>
      <c r="X20" s="361"/>
      <c r="Y20" s="361"/>
      <c r="Z20" s="361"/>
      <c r="AA20" s="361"/>
      <c r="AB20" s="361"/>
      <c r="AC20" s="361"/>
      <c r="AD20" s="361"/>
      <c r="AE20" s="361"/>
      <c r="AF20" s="361"/>
      <c r="AG20" s="361"/>
      <c r="AH20" s="361"/>
      <c r="AI20" s="361"/>
      <c r="AJ20" s="361"/>
      <c r="AK20" s="361"/>
      <c r="AL20" s="361"/>
      <c r="AM20" s="361"/>
      <c r="AN20" s="361"/>
      <c r="AO20" s="361"/>
      <c r="AP20" s="361"/>
    </row>
    <row r="21" spans="1:42" s="306" customFormat="1" ht="85.8" customHeight="1" x14ac:dyDescent="0.25">
      <c r="A21" s="448" t="s">
        <v>122</v>
      </c>
      <c r="B21" s="449"/>
      <c r="C21" s="295" t="s">
        <v>160</v>
      </c>
      <c r="D21" s="207" t="s">
        <v>161</v>
      </c>
      <c r="E21" s="207" t="s">
        <v>162</v>
      </c>
      <c r="F21" s="207" t="s">
        <v>121</v>
      </c>
      <c r="G21" s="302" t="s">
        <v>110</v>
      </c>
      <c r="H21" s="302" t="s">
        <v>62</v>
      </c>
      <c r="I21" s="299" t="s">
        <v>111</v>
      </c>
      <c r="J21" s="298" t="s">
        <v>163</v>
      </c>
      <c r="K21" s="298" t="s">
        <v>164</v>
      </c>
      <c r="L21" s="299" t="s">
        <v>63</v>
      </c>
      <c r="M21" s="303"/>
      <c r="N21" s="304"/>
      <c r="O21" s="304"/>
      <c r="P21" s="304"/>
      <c r="Q21" s="304"/>
      <c r="R21" s="304"/>
      <c r="S21" s="304"/>
      <c r="T21" s="304"/>
      <c r="U21" s="304"/>
      <c r="V21" s="305" t="s">
        <v>116</v>
      </c>
      <c r="W21" s="367" t="s">
        <v>117</v>
      </c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</row>
    <row r="22" spans="1:42" ht="18" customHeight="1" x14ac:dyDescent="0.25">
      <c r="A22" s="227"/>
      <c r="B22" s="228"/>
      <c r="C22" s="228"/>
      <c r="D22" s="307"/>
      <c r="E22" s="240"/>
      <c r="F22" s="240"/>
      <c r="G22" s="239"/>
      <c r="H22" s="239"/>
      <c r="I22" s="239"/>
      <c r="J22" s="460" t="s">
        <v>165</v>
      </c>
      <c r="K22" s="461"/>
      <c r="L22" s="229"/>
      <c r="V22" s="229"/>
      <c r="W22" s="120"/>
      <c r="AK22" s="68"/>
      <c r="AL22" s="68"/>
      <c r="AM22" s="68"/>
      <c r="AN22" s="68"/>
      <c r="AO22" s="68"/>
      <c r="AP22" s="68"/>
    </row>
    <row r="23" spans="1:42" s="70" customFormat="1" ht="18" customHeight="1" x14ac:dyDescent="0.25">
      <c r="A23" s="104"/>
      <c r="B23" s="352" t="s">
        <v>95</v>
      </c>
      <c r="C23" s="109">
        <f>E17</f>
        <v>0</v>
      </c>
      <c r="D23" s="308" t="str">
        <f>IF(SUM($X$23:$X$28)&gt;0,$Z$24,"")</f>
        <v/>
      </c>
      <c r="E23" s="242"/>
      <c r="F23" s="242"/>
      <c r="G23" s="241"/>
      <c r="H23" s="241"/>
      <c r="I23" s="241"/>
      <c r="J23" s="462"/>
      <c r="K23" s="463"/>
      <c r="L23" s="244"/>
      <c r="M23" s="46"/>
      <c r="N23" s="46"/>
      <c r="O23" s="46"/>
      <c r="P23" s="46"/>
      <c r="Q23" s="46"/>
      <c r="R23" s="46"/>
      <c r="S23" s="46"/>
      <c r="T23" s="46"/>
      <c r="U23" s="46"/>
      <c r="V23" s="244"/>
      <c r="W23" s="46"/>
      <c r="X23" s="231" t="s">
        <v>167</v>
      </c>
      <c r="Y23" s="231"/>
      <c r="Z23" s="231"/>
      <c r="AA23" s="304"/>
      <c r="AB23" s="304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</row>
    <row r="24" spans="1:42" s="135" customFormat="1" ht="18" customHeight="1" x14ac:dyDescent="0.25">
      <c r="A24" s="122" t="s">
        <v>64</v>
      </c>
      <c r="B24" s="178"/>
      <c r="C24" s="343"/>
      <c r="D24" s="296"/>
      <c r="E24" s="296"/>
      <c r="F24" s="344"/>
      <c r="G24" s="179"/>
      <c r="H24" s="180">
        <f>DATE(YEAR(G24),(MONTH(G24)+I24),DAY(G24))</f>
        <v>0</v>
      </c>
      <c r="I24" s="106"/>
      <c r="J24" s="245"/>
      <c r="K24" s="300"/>
      <c r="L24" s="301"/>
      <c r="M24" s="134"/>
      <c r="N24" s="134"/>
      <c r="O24" s="134"/>
      <c r="P24" s="134"/>
      <c r="Q24" s="134"/>
      <c r="R24" s="134"/>
      <c r="S24" s="134"/>
      <c r="T24" s="134"/>
      <c r="U24" s="134"/>
      <c r="V24" s="181"/>
      <c r="W24" s="134"/>
      <c r="X24" s="309">
        <f t="shared" ref="X24:X29" si="0">IF(OR(AND(D24&lt;&gt;"",E24&lt;&gt;"",F24&lt;&gt;""),AND(D24&lt;&gt;"",E24&lt;&gt;""),AND(D24&lt;&gt;"",F24&lt;&gt;""),AND(E24&lt;&gt;"",F24&lt;&gt;"")),1,0)</f>
        <v>0</v>
      </c>
      <c r="Y24" s="310"/>
      <c r="Z24" s="371" t="s">
        <v>187</v>
      </c>
      <c r="AA24" s="303"/>
      <c r="AB24" s="303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</row>
    <row r="25" spans="1:42" s="135" customFormat="1" ht="18" customHeight="1" x14ac:dyDescent="0.25">
      <c r="A25" s="122" t="s">
        <v>65</v>
      </c>
      <c r="B25" s="178"/>
      <c r="C25" s="343"/>
      <c r="D25" s="297"/>
      <c r="E25" s="296"/>
      <c r="F25" s="297"/>
      <c r="G25" s="179"/>
      <c r="H25" s="180">
        <f>DATE(YEAR(G25),(MONTH(G25)+I25),DAY(G25))</f>
        <v>0</v>
      </c>
      <c r="I25" s="106"/>
      <c r="J25" s="245"/>
      <c r="K25" s="300"/>
      <c r="L25" s="301"/>
      <c r="M25" s="134"/>
      <c r="N25" s="134"/>
      <c r="O25" s="134"/>
      <c r="P25" s="134"/>
      <c r="Q25" s="134"/>
      <c r="R25" s="134"/>
      <c r="S25" s="134"/>
      <c r="T25" s="134"/>
      <c r="U25" s="134"/>
      <c r="V25" s="181"/>
      <c r="W25" s="134"/>
      <c r="X25" s="309">
        <f>IF(OR(AND(D25&lt;&gt;"",E25&lt;&gt;"",F25&lt;&gt;""),AND(D25&lt;&gt;"",E25&lt;&gt;""),AND(D25&lt;&gt;"",F25&lt;&gt;""),AND(E25&lt;&gt;"",F25&lt;&gt;"")),1,0)</f>
        <v>0</v>
      </c>
      <c r="Y25" s="310"/>
      <c r="Z25" s="310"/>
      <c r="AA25" s="303"/>
      <c r="AB25" s="303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</row>
    <row r="26" spans="1:42" s="135" customFormat="1" ht="18" customHeight="1" x14ac:dyDescent="0.25">
      <c r="A26" s="122" t="s">
        <v>66</v>
      </c>
      <c r="B26" s="178"/>
      <c r="C26" s="343"/>
      <c r="D26" s="297"/>
      <c r="E26" s="297"/>
      <c r="F26" s="297"/>
      <c r="G26" s="179"/>
      <c r="H26" s="180">
        <f>DATE(YEAR(G26),(MONTH(G26)+I26),DAY(G26))</f>
        <v>0</v>
      </c>
      <c r="I26" s="106"/>
      <c r="J26" s="245"/>
      <c r="K26" s="300"/>
      <c r="L26" s="301"/>
      <c r="M26" s="134"/>
      <c r="N26" s="134"/>
      <c r="O26" s="134"/>
      <c r="P26" s="134"/>
      <c r="Q26" s="134"/>
      <c r="R26" s="134"/>
      <c r="S26" s="134"/>
      <c r="T26" s="134"/>
      <c r="U26" s="134"/>
      <c r="V26" s="181"/>
      <c r="W26" s="134"/>
      <c r="X26" s="309">
        <f>IF(OR(AND(D26&lt;&gt;"",E26&lt;&gt;"",F26&lt;&gt;""),AND(D26&lt;&gt;"",E26&lt;&gt;""),AND(D26&lt;&gt;"",F26&lt;&gt;""),AND(E26&lt;&gt;"",F26&lt;&gt;"")),1,0)</f>
        <v>0</v>
      </c>
      <c r="Y26" s="310"/>
      <c r="Z26" s="230"/>
      <c r="AA26" s="303"/>
      <c r="AB26" s="303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</row>
    <row r="27" spans="1:42" s="135" customFormat="1" ht="18" customHeight="1" x14ac:dyDescent="0.25">
      <c r="A27" s="122" t="s">
        <v>67</v>
      </c>
      <c r="B27" s="178"/>
      <c r="C27" s="343"/>
      <c r="D27" s="297"/>
      <c r="E27" s="297"/>
      <c r="F27" s="297"/>
      <c r="G27" s="179"/>
      <c r="H27" s="180">
        <f>DATE(YEAR(G27),(MONTH(G27)+I27),DAY(G27))</f>
        <v>0</v>
      </c>
      <c r="I27" s="106"/>
      <c r="J27" s="245"/>
      <c r="K27" s="300"/>
      <c r="L27" s="301"/>
      <c r="M27" s="134"/>
      <c r="N27" s="134"/>
      <c r="O27" s="134"/>
      <c r="P27" s="134"/>
      <c r="Q27" s="134"/>
      <c r="R27" s="134"/>
      <c r="S27" s="134"/>
      <c r="T27" s="134"/>
      <c r="U27" s="134"/>
      <c r="V27" s="181"/>
      <c r="W27" s="134"/>
      <c r="X27" s="309">
        <f t="shared" si="0"/>
        <v>0</v>
      </c>
      <c r="Y27" s="310"/>
      <c r="Z27" s="230"/>
      <c r="AA27" s="303"/>
      <c r="AB27" s="303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</row>
    <row r="28" spans="1:42" s="135" customFormat="1" ht="18" customHeight="1" x14ac:dyDescent="0.25">
      <c r="A28" s="122" t="s">
        <v>68</v>
      </c>
      <c r="B28" s="178"/>
      <c r="C28" s="343"/>
      <c r="D28" s="297"/>
      <c r="E28" s="297"/>
      <c r="F28" s="297"/>
      <c r="G28" s="179"/>
      <c r="H28" s="180">
        <f t="shared" ref="H28:H29" si="1">DATE(YEAR(G28),(MONTH(G28)+I28),DAY(G28))</f>
        <v>0</v>
      </c>
      <c r="I28" s="106"/>
      <c r="J28" s="245"/>
      <c r="K28" s="300"/>
      <c r="L28" s="301"/>
      <c r="M28" s="134"/>
      <c r="N28" s="134"/>
      <c r="O28" s="134"/>
      <c r="P28" s="134"/>
      <c r="Q28" s="134"/>
      <c r="R28" s="134"/>
      <c r="S28" s="134"/>
      <c r="T28" s="134"/>
      <c r="U28" s="134"/>
      <c r="V28" s="181"/>
      <c r="W28" s="134"/>
      <c r="X28" s="309">
        <f t="shared" si="0"/>
        <v>0</v>
      </c>
      <c r="Y28" s="310"/>
      <c r="Z28" s="230"/>
      <c r="AA28" s="303"/>
      <c r="AB28" s="303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</row>
    <row r="29" spans="1:42" s="135" customFormat="1" ht="18" customHeight="1" thickBot="1" x14ac:dyDescent="0.3">
      <c r="A29" s="122" t="s">
        <v>69</v>
      </c>
      <c r="B29" s="182"/>
      <c r="C29" s="345"/>
      <c r="D29" s="297"/>
      <c r="E29" s="297"/>
      <c r="F29" s="297"/>
      <c r="G29" s="179"/>
      <c r="H29" s="180">
        <f t="shared" si="1"/>
        <v>0</v>
      </c>
      <c r="I29" s="106"/>
      <c r="J29" s="245"/>
      <c r="K29" s="300"/>
      <c r="L29" s="301"/>
      <c r="M29" s="134"/>
      <c r="N29" s="134"/>
      <c r="O29" s="134"/>
      <c r="P29" s="134"/>
      <c r="Q29" s="134"/>
      <c r="R29" s="134"/>
      <c r="S29" s="134"/>
      <c r="T29" s="134"/>
      <c r="U29" s="134"/>
      <c r="V29" s="181"/>
      <c r="W29" s="134"/>
      <c r="X29" s="309">
        <f t="shared" si="0"/>
        <v>0</v>
      </c>
      <c r="Y29" s="310"/>
      <c r="Z29" s="230"/>
      <c r="AA29" s="303"/>
      <c r="AB29" s="303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</row>
    <row r="30" spans="1:42" s="39" customFormat="1" ht="22.05" customHeight="1" thickBot="1" x14ac:dyDescent="0.3">
      <c r="A30" s="399" t="s">
        <v>70</v>
      </c>
      <c r="B30" s="399"/>
      <c r="C30" s="108">
        <f>SUM(C23:C29)</f>
        <v>0</v>
      </c>
      <c r="D30" s="210">
        <f>SUM(D24:D29)</f>
        <v>0</v>
      </c>
      <c r="E30" s="210">
        <f>SUM(E24:E29)</f>
        <v>0</v>
      </c>
      <c r="F30" s="108">
        <f>SUM(F24:F29)</f>
        <v>0</v>
      </c>
      <c r="G30" s="110"/>
      <c r="H30" s="110"/>
      <c r="I30" s="110"/>
      <c r="J30" s="110"/>
      <c r="K30" s="110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spans="1:42" s="39" customFormat="1" ht="14.25" customHeight="1" x14ac:dyDescent="0.25">
      <c r="A31" s="26"/>
      <c r="B31" s="27"/>
      <c r="C31" s="111"/>
      <c r="D31" s="111"/>
      <c r="E31" s="111"/>
      <c r="F31" s="111"/>
      <c r="G31" s="112"/>
      <c r="H31" s="112"/>
      <c r="I31" s="113"/>
      <c r="J31" s="114"/>
      <c r="K31" s="28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</row>
    <row r="32" spans="1:42" s="39" customFormat="1" ht="21.75" customHeight="1" x14ac:dyDescent="0.25">
      <c r="A32" s="432" t="s">
        <v>71</v>
      </c>
      <c r="B32" s="465"/>
      <c r="C32" s="466"/>
      <c r="D32" s="466"/>
      <c r="E32" s="466"/>
      <c r="F32" s="466"/>
      <c r="G32" s="466"/>
      <c r="H32" s="466"/>
      <c r="I32" s="466"/>
      <c r="J32" s="466"/>
      <c r="K32" s="467"/>
      <c r="L32" s="375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</row>
    <row r="33" spans="1:43" s="39" customFormat="1" ht="21.75" customHeight="1" x14ac:dyDescent="0.25">
      <c r="A33" s="433"/>
      <c r="B33" s="468"/>
      <c r="C33" s="469"/>
      <c r="D33" s="469"/>
      <c r="E33" s="469"/>
      <c r="F33" s="469"/>
      <c r="G33" s="469"/>
      <c r="H33" s="469"/>
      <c r="I33" s="469"/>
      <c r="J33" s="469"/>
      <c r="K33" s="470"/>
      <c r="L33" s="378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</row>
    <row r="34" spans="1:43" s="39" customFormat="1" ht="15.75" customHeight="1" x14ac:dyDescent="0.25">
      <c r="A34" s="8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</row>
    <row r="35" spans="1:43" s="135" customFormat="1" ht="18.600000000000001" customHeight="1" x14ac:dyDescent="0.3">
      <c r="A35" s="313" t="s">
        <v>169</v>
      </c>
      <c r="B35" s="314"/>
      <c r="C35" s="315"/>
      <c r="D35" s="315"/>
      <c r="E35" s="315"/>
      <c r="F35" s="315"/>
      <c r="G35" s="316"/>
      <c r="H35" s="316"/>
      <c r="I35" s="316"/>
      <c r="J35" s="315"/>
      <c r="K35" s="317"/>
      <c r="L35" s="318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</row>
    <row r="36" spans="1:43" s="173" customFormat="1" ht="82.8" x14ac:dyDescent="0.25">
      <c r="A36" s="405" t="s">
        <v>120</v>
      </c>
      <c r="B36" s="401"/>
      <c r="C36" s="321" t="str">
        <f>IF($D$30&gt;0,"Montant admissible du supplément de droits de diffusion",
IF(AND($D$30=0,$E$30&gt;0),"Montant admissible de la Contribution","Montant admissible du supplément de droits de diffusion/de la Contribution"))</f>
        <v>Montant admissible du supplément de droits de diffusion/de la Contribution</v>
      </c>
      <c r="D36" s="123" t="s">
        <v>118</v>
      </c>
      <c r="E36" s="124" t="s">
        <v>72</v>
      </c>
      <c r="F36" s="124" t="s">
        <v>73</v>
      </c>
      <c r="G36" s="207" t="s">
        <v>171</v>
      </c>
      <c r="H36" s="207" t="s">
        <v>172</v>
      </c>
      <c r="I36" s="207" t="s">
        <v>173</v>
      </c>
      <c r="J36" s="322" t="s">
        <v>174</v>
      </c>
      <c r="K36" s="125" t="s">
        <v>175</v>
      </c>
      <c r="L36" s="125" t="s">
        <v>115</v>
      </c>
      <c r="N36" s="151"/>
      <c r="O36" s="151"/>
      <c r="P36" s="151"/>
      <c r="Q36" s="151"/>
      <c r="R36" s="151"/>
      <c r="S36" s="151"/>
      <c r="T36" s="151"/>
      <c r="U36" s="151"/>
      <c r="V36" s="171" t="s">
        <v>25</v>
      </c>
      <c r="W36" s="171" t="s">
        <v>26</v>
      </c>
      <c r="X36" s="172" t="s">
        <v>27</v>
      </c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</row>
    <row r="37" spans="1:43" s="135" customFormat="1" ht="18" customHeight="1" x14ac:dyDescent="0.25">
      <c r="A37" s="126"/>
      <c r="B37" s="127" t="s">
        <v>95</v>
      </c>
      <c r="C37" s="339">
        <f>IF($E$44-(E$7*20%)&lt;100000,E37,IF((E$7*20%)&lt;MIN(E17,F79:F80),ROUND(E$7*20%,0),MIN(E17,F79:F80)))</f>
        <v>0</v>
      </c>
      <c r="D37" s="339">
        <f t="shared" ref="D37:D44" si="2">E37-C37</f>
        <v>0</v>
      </c>
      <c r="E37" s="339">
        <f>IF(MAX(F$79:F$80)&lt;E17,MAX(F$79:F$80),E17)</f>
        <v>0</v>
      </c>
      <c r="F37" s="190" t="str">
        <f t="shared" ref="F37:F43" si="3">IF($E$7=0,"",(C37+D37)/$E$7)</f>
        <v/>
      </c>
      <c r="G37" s="208"/>
      <c r="H37" s="208"/>
      <c r="I37" s="208"/>
      <c r="J37" s="208"/>
      <c r="K37" s="214"/>
      <c r="L37" s="346"/>
      <c r="M37" s="209"/>
      <c r="N37" s="134"/>
      <c r="O37" s="134"/>
      <c r="P37" s="134"/>
      <c r="Q37" s="134"/>
      <c r="R37" s="134"/>
      <c r="S37" s="134"/>
      <c r="T37" s="134"/>
      <c r="U37" s="134"/>
      <c r="V37" s="174"/>
      <c r="W37" s="174"/>
      <c r="X37" s="17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</row>
    <row r="38" spans="1:43" s="135" customFormat="1" ht="18" customHeight="1" x14ac:dyDescent="0.25">
      <c r="A38" s="128" t="s">
        <v>64</v>
      </c>
      <c r="B38" s="129">
        <f>$B$24</f>
        <v>0</v>
      </c>
      <c r="C38" s="339">
        <f>IF(($C$44-$C$37)&gt;0,ROUND((E38/($E$44-$E$37)*($C$44-$C$37)),0),0)</f>
        <v>0</v>
      </c>
      <c r="D38" s="339">
        <f>E38-C38</f>
        <v>0</v>
      </c>
      <c r="E38" s="339">
        <f>IF($X$16&gt;0,ROUND(C24/($C$30-$C$23)*($E$44-$E$37),0),0)</f>
        <v>0</v>
      </c>
      <c r="F38" s="190" t="str">
        <f>IF($E$7=0,"",(C38+D38)/$E$7)</f>
        <v/>
      </c>
      <c r="G38" s="339">
        <f>IF($E$7=0,0,
IF(AND($D24&lt;&gt;"",$X24=0,$H50&lt;&gt;"S/O"),$H50,0))</f>
        <v>0</v>
      </c>
      <c r="H38" s="339">
        <f>IF(OR($E$7=0,$B51="Information manquante"),0,
IF(AND($E24&lt;&gt;"",$X24=0,$H50&lt;&gt;"S/O"),$H50,
IF(AND($E24&lt;&gt;"",$X24=0,$H50="S/O"),$E24,0)))</f>
        <v>0</v>
      </c>
      <c r="I38" s="363" t="s">
        <v>89</v>
      </c>
      <c r="J38" s="363">
        <f t="shared" ref="J38:J43" si="4">N(G38)+N(H38)+N(I38)</f>
        <v>0</v>
      </c>
      <c r="K38" s="281" t="str">
        <f>IF(E$7=0,"",J38/E$7)</f>
        <v/>
      </c>
      <c r="L38" s="340">
        <f t="shared" ref="L38:L43" si="5">IF(X24=1,0,
N(D24)+N(E24)+N(F24)-J38)</f>
        <v>0</v>
      </c>
      <c r="M38" s="209"/>
      <c r="N38" s="134"/>
      <c r="O38" s="134"/>
      <c r="P38" s="134"/>
      <c r="Q38" s="134"/>
      <c r="R38" s="134"/>
      <c r="S38" s="134"/>
      <c r="T38" s="134"/>
      <c r="U38" s="134"/>
      <c r="V38" s="174">
        <f>IF(I24&lt;72,I24,72)</f>
        <v>0</v>
      </c>
      <c r="W38" s="174">
        <f t="shared" ref="W38:W43" si="6">V24</f>
        <v>0</v>
      </c>
      <c r="X38" s="174" t="s">
        <v>89</v>
      </c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</row>
    <row r="39" spans="1:43" s="135" customFormat="1" ht="18" customHeight="1" x14ac:dyDescent="0.25">
      <c r="A39" s="130" t="s">
        <v>65</v>
      </c>
      <c r="B39" s="129">
        <f>$B$25</f>
        <v>0</v>
      </c>
      <c r="C39" s="340">
        <f t="shared" ref="C39:C43" si="7">IF(($C$44-$C$37)&gt;0,ROUND((E39/($E$44-$E$37)*($C$44-$C$37)),0),0)</f>
        <v>0</v>
      </c>
      <c r="D39" s="340">
        <f t="shared" si="2"/>
        <v>0</v>
      </c>
      <c r="E39" s="340">
        <f t="shared" ref="E39:E43" si="8">IF($X$16&gt;0,ROUND(C25/($C$30-$C$23)*($E$44-$E$37),0),0)</f>
        <v>0</v>
      </c>
      <c r="F39" s="190" t="str">
        <f t="shared" si="3"/>
        <v/>
      </c>
      <c r="G39" s="340">
        <f>IF($E$7=0,0,
IF(AND($D25&lt;&gt;"",$X25=0,$H52&lt;&gt;"S/O"),$H52,0))</f>
        <v>0</v>
      </c>
      <c r="H39" s="340">
        <f>IF(OR($E$7=0,$B53="Information manquante"),0,
IF(AND($E25&lt;&gt;"",$X25=0,$H52&lt;&gt;"S/O"),$H52,
IF(AND($E25&lt;&gt;"",$X25=0,$H52="S/O"),$E25,0)))</f>
        <v>0</v>
      </c>
      <c r="I39" s="340">
        <f>IF($I$44&gt;0,MIN(F25,(F25/$F$30)*I$44),0)</f>
        <v>0</v>
      </c>
      <c r="J39" s="340">
        <f t="shared" si="4"/>
        <v>0</v>
      </c>
      <c r="K39" s="281" t="str">
        <f t="shared" ref="K39:K43" si="9">IF(E$7=0,"",J39/E$7)</f>
        <v/>
      </c>
      <c r="L39" s="340">
        <f t="shared" si="5"/>
        <v>0</v>
      </c>
      <c r="N39" s="134"/>
      <c r="O39" s="134"/>
      <c r="P39" s="134"/>
      <c r="Q39" s="134"/>
      <c r="R39" s="134"/>
      <c r="S39" s="134"/>
      <c r="T39" s="134"/>
      <c r="U39" s="134"/>
      <c r="V39" s="175">
        <f>IF(I25=0,0,IF(I25&lt;F52,I25,$F$52))</f>
        <v>0</v>
      </c>
      <c r="W39" s="174">
        <f t="shared" si="6"/>
        <v>0</v>
      </c>
      <c r="X39" s="176">
        <f>IF(G25&gt;DATE(YEAR(G$24),MONTH(G$24)+W38,DAY(G$24)),G25,DATE(YEAR(G$24),MONTH(G$24)+W38,DAY(G$24)))</f>
        <v>0</v>
      </c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</row>
    <row r="40" spans="1:43" s="135" customFormat="1" ht="18" customHeight="1" x14ac:dyDescent="0.25">
      <c r="A40" s="130" t="s">
        <v>66</v>
      </c>
      <c r="B40" s="129">
        <f>$B$26</f>
        <v>0</v>
      </c>
      <c r="C40" s="340">
        <f t="shared" si="7"/>
        <v>0</v>
      </c>
      <c r="D40" s="340">
        <f t="shared" si="2"/>
        <v>0</v>
      </c>
      <c r="E40" s="340">
        <f t="shared" si="8"/>
        <v>0</v>
      </c>
      <c r="F40" s="190" t="str">
        <f t="shared" si="3"/>
        <v/>
      </c>
      <c r="G40" s="340">
        <f>IF($E$7=0,0,
IF(AND($D26&lt;&gt;"",$X26=0,$H54&lt;&gt;"S/O"),$H54,0))</f>
        <v>0</v>
      </c>
      <c r="H40" s="340">
        <f>IF(OR($E$7=0,$B55="Information manquante"),0,
IF(AND($E26&lt;&gt;"",$X26=0,$H54&lt;&gt;"S/O"),$H54,
IF(AND($E26&lt;&gt;"",$X26=0,$H54="S/O"),$E26,0)))</f>
        <v>0</v>
      </c>
      <c r="I40" s="340">
        <f>IF($I$44&gt;0,MIN(F26,(F26/$F$30)*I$44),0)</f>
        <v>0</v>
      </c>
      <c r="J40" s="340">
        <f t="shared" si="4"/>
        <v>0</v>
      </c>
      <c r="K40" s="281" t="str">
        <f t="shared" si="9"/>
        <v/>
      </c>
      <c r="L40" s="340">
        <f t="shared" si="5"/>
        <v>0</v>
      </c>
      <c r="N40" s="134"/>
      <c r="O40" s="134"/>
      <c r="P40" s="134"/>
      <c r="Q40" s="134"/>
      <c r="R40" s="134"/>
      <c r="S40" s="134"/>
      <c r="T40" s="134"/>
      <c r="U40" s="134"/>
      <c r="V40" s="175">
        <f>IF(I26=0,0,IF(I26&lt;F54,I26,$F$54))</f>
        <v>0</v>
      </c>
      <c r="W40" s="174">
        <f t="shared" si="6"/>
        <v>0</v>
      </c>
      <c r="X40" s="176">
        <f>IF(G26&gt;DATE(YEAR(G$24),MONTH(G$24)+W38+W39,DAY(G$24)),G26,DATE(YEAR(G$24),MONTH(G$24)+W38+W$39,DAY(G$24)))</f>
        <v>0</v>
      </c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</row>
    <row r="41" spans="1:43" s="135" customFormat="1" ht="18" customHeight="1" x14ac:dyDescent="0.25">
      <c r="A41" s="130" t="s">
        <v>67</v>
      </c>
      <c r="B41" s="129">
        <f>$B$27</f>
        <v>0</v>
      </c>
      <c r="C41" s="340">
        <f t="shared" si="7"/>
        <v>0</v>
      </c>
      <c r="D41" s="340">
        <f t="shared" si="2"/>
        <v>0</v>
      </c>
      <c r="E41" s="340">
        <f t="shared" si="8"/>
        <v>0</v>
      </c>
      <c r="F41" s="190" t="str">
        <f t="shared" si="3"/>
        <v/>
      </c>
      <c r="G41" s="340">
        <f>IF($E$7=0,0,
IF(AND($D27&lt;&gt;"",$X27=0,$H56&lt;&gt;"S/O"),$H56,0))</f>
        <v>0</v>
      </c>
      <c r="H41" s="340">
        <f>IF(OR($E$7=0,$B57="Information manquante"),0,
IF(AND($E27&lt;&gt;"",$X27=0,$H56&lt;&gt;"S/O"),$H56,
IF(AND($E27&lt;&gt;"",$X27=0,$H56="S/O"),$E27,0)))</f>
        <v>0</v>
      </c>
      <c r="I41" s="340">
        <f>IF($I$44&gt;0,MIN(F27,(F27/$F$30)*I$44),0)</f>
        <v>0</v>
      </c>
      <c r="J41" s="340">
        <f t="shared" si="4"/>
        <v>0</v>
      </c>
      <c r="K41" s="281" t="str">
        <f t="shared" si="9"/>
        <v/>
      </c>
      <c r="L41" s="340">
        <f t="shared" si="5"/>
        <v>0</v>
      </c>
      <c r="N41" s="134"/>
      <c r="O41" s="134"/>
      <c r="P41" s="134"/>
      <c r="Q41" s="134"/>
      <c r="R41" s="134"/>
      <c r="S41" s="134"/>
      <c r="T41" s="134"/>
      <c r="U41" s="134"/>
      <c r="V41" s="175">
        <f>IF(I27=0,0,IF(I27&lt;F56,I27,$F$56))</f>
        <v>0</v>
      </c>
      <c r="W41" s="174">
        <f t="shared" si="6"/>
        <v>0</v>
      </c>
      <c r="X41" s="176">
        <f>IF(G27&gt;DATE(YEAR(G$24),MONTH(G$24)+W$38+W$39+W40,DAY(G$24)),G27,DATE(YEAR(G$24),MONTH(G$24)+W$38+W$39+W40,DAY(G$24)))</f>
        <v>0</v>
      </c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</row>
    <row r="42" spans="1:43" s="135" customFormat="1" ht="18" customHeight="1" x14ac:dyDescent="0.25">
      <c r="A42" s="130" t="s">
        <v>68</v>
      </c>
      <c r="B42" s="129">
        <f>$B$28</f>
        <v>0</v>
      </c>
      <c r="C42" s="340">
        <f t="shared" si="7"/>
        <v>0</v>
      </c>
      <c r="D42" s="340">
        <f t="shared" si="2"/>
        <v>0</v>
      </c>
      <c r="E42" s="340">
        <f t="shared" si="8"/>
        <v>0</v>
      </c>
      <c r="F42" s="190" t="str">
        <f t="shared" si="3"/>
        <v/>
      </c>
      <c r="G42" s="340">
        <f>IF($E$7=0,0,
IF(AND($D28&lt;&gt;"",$X28=0,$H58&lt;&gt;"S/O"),$H58,0))</f>
        <v>0</v>
      </c>
      <c r="H42" s="340">
        <f>IF(OR($E$7=0,$B59="Information manquante"),0,
IF(AND($E28&lt;&gt;"",$X28=0,$H58&lt;&gt;"S/O"),$H58,
IF(AND($E28&lt;&gt;"",$X28=0,$H58="S/O"),$E28,0)))</f>
        <v>0</v>
      </c>
      <c r="I42" s="340">
        <f>IF($I$44&gt;0,MIN(F28,(F28/$F$30)*I$44),0)</f>
        <v>0</v>
      </c>
      <c r="J42" s="340">
        <f t="shared" si="4"/>
        <v>0</v>
      </c>
      <c r="K42" s="281" t="str">
        <f t="shared" si="9"/>
        <v/>
      </c>
      <c r="L42" s="340">
        <f t="shared" si="5"/>
        <v>0</v>
      </c>
      <c r="N42" s="134"/>
      <c r="O42" s="134"/>
      <c r="P42" s="134"/>
      <c r="Q42" s="134"/>
      <c r="R42" s="134"/>
      <c r="S42" s="134"/>
      <c r="T42" s="134"/>
      <c r="U42" s="134"/>
      <c r="V42" s="175">
        <f>IF(I28=0,0,IF(I28&lt;F58,I28,$F$58))</f>
        <v>0</v>
      </c>
      <c r="W42" s="174">
        <f t="shared" si="6"/>
        <v>0</v>
      </c>
      <c r="X42" s="176">
        <f>IF(G28&gt;DATE(YEAR(G$24),MONTH(G$24)+W$38+W$39+W40+W41,DAY(G$24)),G28,DATE(YEAR(G$24),MONTH(G$24)+W$38+W$39+W40+W41,DAY(G$24)))</f>
        <v>0</v>
      </c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</row>
    <row r="43" spans="1:43" s="135" customFormat="1" ht="18" customHeight="1" thickBot="1" x14ac:dyDescent="0.3">
      <c r="A43" s="122" t="s">
        <v>69</v>
      </c>
      <c r="B43" s="131">
        <f>$B$29</f>
        <v>0</v>
      </c>
      <c r="C43" s="341">
        <f t="shared" si="7"/>
        <v>0</v>
      </c>
      <c r="D43" s="341">
        <f t="shared" si="2"/>
        <v>0</v>
      </c>
      <c r="E43" s="341">
        <f t="shared" si="8"/>
        <v>0</v>
      </c>
      <c r="F43" s="206" t="str">
        <f t="shared" si="3"/>
        <v/>
      </c>
      <c r="G43" s="341">
        <f>IF($E$7=0,0,
IF(AND($D29&lt;&gt;"",$X29=0,$H60&lt;&gt;"S/O"),$H60,0))</f>
        <v>0</v>
      </c>
      <c r="H43" s="341">
        <f>IF(OR($E$7=0,$B61="Information manquante"),0,
IF(AND($E29&lt;&gt;"",$X29=0,$H60&lt;&gt;"S/O"),$H60,
IF(AND($E29&lt;&gt;"",$X29=0,$H60="S/O"),$E29,0)))</f>
        <v>0</v>
      </c>
      <c r="I43" s="341">
        <f>IF($I$44&gt;0,MIN(F29,(F29/$F$30)*I$44),0)</f>
        <v>0</v>
      </c>
      <c r="J43" s="341">
        <f t="shared" si="4"/>
        <v>0</v>
      </c>
      <c r="K43" s="282" t="str">
        <f t="shared" si="9"/>
        <v/>
      </c>
      <c r="L43" s="341">
        <f t="shared" si="5"/>
        <v>0</v>
      </c>
      <c r="N43" s="134"/>
      <c r="O43" s="134"/>
      <c r="P43" s="134"/>
      <c r="Q43" s="134"/>
      <c r="R43" s="134"/>
      <c r="S43" s="134"/>
      <c r="T43" s="134"/>
      <c r="U43" s="134"/>
      <c r="V43" s="175">
        <f>IF(I29=0,0,IF(I29&lt;F60,I29,$F$60))</f>
        <v>0</v>
      </c>
      <c r="W43" s="174">
        <f t="shared" si="6"/>
        <v>0</v>
      </c>
      <c r="X43" s="176">
        <f>IF(G29&gt;DATE(YEAR(G$24),MONTH(G$24)+W$38+W$39+W40+W41+W42,DAY(G$24)),G29,DATE(YEAR(G$24),MONTH(G$24)+W$38+W$39+W40+W41+W42,DAY(G$24)))</f>
        <v>0</v>
      </c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</row>
    <row r="44" spans="1:43" s="177" customFormat="1" ht="22.05" customHeight="1" thickBot="1" x14ac:dyDescent="0.3">
      <c r="A44" s="132"/>
      <c r="B44" s="133" t="s">
        <v>102</v>
      </c>
      <c r="C44" s="342">
        <f>IF(E44-(E7*20%)&lt;100000,E44,IF((E$7*20%)&lt;E44,ROUND(E$7*20%,0),E44))</f>
        <v>0</v>
      </c>
      <c r="D44" s="342">
        <f t="shared" si="2"/>
        <v>0</v>
      </c>
      <c r="E44" s="342">
        <f>IF(MAX(C$79:C$80)&lt;C30+IF(X$14="Oui",E13,0),
MIN(MAX(C$79:C$80)-E37,X16)+E37,
MIN(MAX(I79:I80),X16)+E37)</f>
        <v>0</v>
      </c>
      <c r="F44" s="193">
        <f>SUM(F37:F43)</f>
        <v>0</v>
      </c>
      <c r="G44" s="342">
        <f>SUM(G38:G43)</f>
        <v>0</v>
      </c>
      <c r="H44" s="342">
        <f>SUM(H38:H43)</f>
        <v>0</v>
      </c>
      <c r="I44" s="342">
        <f>MIN(F30,SUM(G66:G67))</f>
        <v>0</v>
      </c>
      <c r="J44" s="342">
        <f>H44+I44+G44</f>
        <v>0</v>
      </c>
      <c r="K44" s="283">
        <f>SUM(K38:K43)</f>
        <v>0</v>
      </c>
      <c r="L44" s="342">
        <f>SUM(L38:L43)</f>
        <v>0</v>
      </c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</row>
    <row r="45" spans="1:43" s="39" customFormat="1" ht="15" hidden="1" customHeight="1" x14ac:dyDescent="0.25">
      <c r="B45" s="96"/>
      <c r="C45" s="96"/>
      <c r="D45" s="96"/>
      <c r="E45" s="96"/>
      <c r="F45" s="96"/>
      <c r="G45" s="96"/>
      <c r="H45" s="96"/>
      <c r="I45" s="96"/>
      <c r="J45" s="96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</row>
    <row r="46" spans="1:43" s="39" customFormat="1" ht="15" hidden="1" customHeight="1" x14ac:dyDescent="0.25">
      <c r="B46" s="96"/>
      <c r="C46" s="96"/>
      <c r="D46" s="96"/>
      <c r="E46" s="96"/>
      <c r="F46" s="96"/>
      <c r="G46" s="96"/>
      <c r="H46" s="96"/>
      <c r="I46" s="96"/>
      <c r="J46" s="96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</row>
    <row r="47" spans="1:43" s="39" customFormat="1" ht="15" customHeight="1" x14ac:dyDescent="0.25">
      <c r="A47" s="353" t="s">
        <v>166</v>
      </c>
      <c r="B47" s="354"/>
      <c r="C47" s="354"/>
      <c r="D47" s="354"/>
      <c r="J47" s="72"/>
      <c r="L47" s="355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</row>
    <row r="48" spans="1:43" s="39" customFormat="1" ht="15" customHeight="1" x14ac:dyDescent="0.25">
      <c r="B48" s="96"/>
      <c r="C48" s="96"/>
      <c r="D48" s="96"/>
      <c r="E48" s="96"/>
      <c r="F48" s="96"/>
      <c r="G48" s="96"/>
      <c r="H48" s="96"/>
      <c r="I48" s="96"/>
      <c r="J48" s="96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</row>
    <row r="49" spans="1:43" s="39" customFormat="1" ht="18.75" customHeight="1" x14ac:dyDescent="0.25">
      <c r="A49" s="170" t="s">
        <v>168</v>
      </c>
      <c r="B49" s="311"/>
      <c r="C49" s="311"/>
      <c r="D49" s="311"/>
      <c r="E49" s="312"/>
      <c r="F49" s="33"/>
      <c r="I49" s="31"/>
      <c r="J49" s="31"/>
      <c r="K49" s="34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</row>
    <row r="50" spans="1:43" s="164" customFormat="1" ht="21.9" customHeight="1" x14ac:dyDescent="0.25">
      <c r="A50" s="326" t="s">
        <v>64</v>
      </c>
      <c r="B50" s="327">
        <f>IF(AND($E24&lt;&gt;"",$D24=""),$E24,IF(AND($E24="",$D24&lt;&gt;""),$D24,IF(AND($E24="",$F24&lt;&gt;""),$F24,0)))</f>
        <v>0</v>
      </c>
      <c r="C50" s="328" t="s">
        <v>29</v>
      </c>
      <c r="D50" s="329">
        <f>$I$24</f>
        <v>0</v>
      </c>
      <c r="E50" s="328" t="s">
        <v>30</v>
      </c>
      <c r="F50" s="329">
        <f>IF(A64&gt;=16,60,72)</f>
        <v>72</v>
      </c>
      <c r="G50" s="328" t="s">
        <v>31</v>
      </c>
      <c r="H50" s="327" t="str">
        <f>IF(AND(D24&lt;=0,OR(X24=1,V50=FALSE)),"S/O",
IF($I24&lt;F50,B50,
(B50/D50)*F50))</f>
        <v>S/O</v>
      </c>
      <c r="I50" s="404" t="s">
        <v>74</v>
      </c>
      <c r="J50" s="437"/>
      <c r="K50" s="330">
        <f>DATE(YEAR(G24),(MONTH(G24)+F50),DAY(G24))</f>
        <v>2192</v>
      </c>
      <c r="L50" s="331"/>
      <c r="M50" s="331"/>
      <c r="N50" s="331"/>
      <c r="O50" s="331"/>
      <c r="P50" s="331"/>
      <c r="Q50" s="331"/>
      <c r="R50" s="331"/>
      <c r="S50" s="332"/>
      <c r="T50" s="248"/>
      <c r="U50" s="248"/>
      <c r="V50" s="255" t="b">
        <f>AND(E24&gt;0,J24="Canadien",K24="Non")</f>
        <v>0</v>
      </c>
      <c r="W50" s="256" t="str">
        <f>IF(X24&gt;0,"S/O",
IF(AND($E24&gt;0,K24="Oui"),"S/O (dist. apparenté au requérant)",
IF(AND($E24&gt;0,$X24=0,$J24="Canadien",$K24=""),"Information manquante",
IF(AND($E24&gt;0,$X24=0,$J24="",$K24&lt;&gt;"Oui"),"Information manquante",
IF(AND($E24&gt;0,$X24=0,$J24="Canadien",$K24="Non"),"ADA totale (droits CAN)",
IF(D24&gt;0,"Montant total des droits de diffusion",
IF(OR($J24="International",F24&gt;0),"S/O (droits int.)","")))))))</f>
        <v/>
      </c>
      <c r="X50" s="333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</row>
    <row r="51" spans="1:43" s="135" customFormat="1" ht="27.6" x14ac:dyDescent="0.25">
      <c r="A51" s="263"/>
      <c r="B51" s="257" t="str">
        <f>W50</f>
        <v/>
      </c>
      <c r="C51" s="266"/>
      <c r="D51" s="266" t="s">
        <v>178</v>
      </c>
      <c r="E51" s="264"/>
      <c r="F51" s="266" t="s">
        <v>76</v>
      </c>
      <c r="G51" s="264"/>
      <c r="H51" s="257" t="s">
        <v>77</v>
      </c>
      <c r="I51" s="267"/>
      <c r="J51" s="267"/>
      <c r="K51" s="268"/>
      <c r="L51" s="292"/>
      <c r="M51" s="292"/>
      <c r="N51" s="292"/>
      <c r="O51" s="292"/>
      <c r="P51" s="292"/>
      <c r="Q51" s="292"/>
      <c r="R51" s="292"/>
      <c r="S51" s="293"/>
      <c r="T51" s="248"/>
      <c r="U51" s="248"/>
      <c r="V51" s="257"/>
      <c r="W51" s="258"/>
      <c r="X51" s="29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</row>
    <row r="52" spans="1:43" s="135" customFormat="1" ht="21.9" customHeight="1" x14ac:dyDescent="0.25">
      <c r="A52" s="326" t="s">
        <v>65</v>
      </c>
      <c r="B52" s="327">
        <f>IF(AND($E25&lt;&gt;"",$D25=""),$E25,IF(AND($E25="",$D25&lt;&gt;""),$D25,IF(AND($E25="",$F25&lt;&gt;""),$F25,0)))</f>
        <v>0</v>
      </c>
      <c r="C52" s="328" t="s">
        <v>29</v>
      </c>
      <c r="D52" s="329">
        <f>$I$25</f>
        <v>0</v>
      </c>
      <c r="E52" s="328" t="s">
        <v>30</v>
      </c>
      <c r="F52" s="334">
        <f>IF((YEAR(K$50)-YEAR(X39))*12+MONTH(K$50)-MONTH(X39)&lt;0,0,(YEAR(K$50)-YEAR(X39))*12+MONTH(K$50)-MONTH(X39))</f>
        <v>71</v>
      </c>
      <c r="G52" s="328" t="s">
        <v>31</v>
      </c>
      <c r="H52" s="327" t="str">
        <f>IF(AND(D25&lt;=0,OR(X25=1,V52=FALSE)),"S/O",
IF($I25&lt;F52,B52,
(B52/D52)*F52))</f>
        <v>S/O</v>
      </c>
      <c r="I52" s="335"/>
      <c r="J52" s="335"/>
      <c r="K52" s="336"/>
      <c r="L52" s="331"/>
      <c r="M52" s="331"/>
      <c r="N52" s="331"/>
      <c r="O52" s="331"/>
      <c r="P52" s="331"/>
      <c r="Q52" s="331"/>
      <c r="R52" s="331"/>
      <c r="S52" s="332"/>
      <c r="T52" s="248"/>
      <c r="U52" s="248"/>
      <c r="V52" s="255" t="b">
        <f>AND(E25&gt;0,J25="Canadien",K25="Non")</f>
        <v>0</v>
      </c>
      <c r="W52" s="256" t="str">
        <f>IF(X25&gt;0,"S/O",
IF(AND($E25&gt;0,K25="Oui"),"S/O (dist. apparenté au requérant)",
IF(AND($E25&gt;0,$X25=0,$J25="Canadien",$K25=""),"Information manquante",
IF(AND($E25&gt;0,$X25=0,$J25="",$K25&lt;&gt;"Oui"),"Information manquante",
IF(AND($E25&gt;0,$X25=0,$J25="Canadien",$K25="Non"),"ADA totale (droits CAN)",
IF(D25&gt;0,"Montant total des droits de diffusion",
IF(OR($J25="International",F25&gt;0),"S/O (droits int.)","")))))))</f>
        <v/>
      </c>
      <c r="X52" s="333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</row>
    <row r="53" spans="1:43" s="135" customFormat="1" ht="27.6" x14ac:dyDescent="0.25">
      <c r="A53" s="272"/>
      <c r="B53" s="257" t="str">
        <f>W52</f>
        <v/>
      </c>
      <c r="C53" s="266"/>
      <c r="D53" s="266" t="s">
        <v>178</v>
      </c>
      <c r="E53" s="264"/>
      <c r="F53" s="266" t="s">
        <v>76</v>
      </c>
      <c r="G53" s="264"/>
      <c r="H53" s="257" t="s">
        <v>77</v>
      </c>
      <c r="I53" s="267"/>
      <c r="J53" s="267"/>
      <c r="K53" s="268"/>
      <c r="L53" s="292"/>
      <c r="M53" s="292"/>
      <c r="N53" s="292"/>
      <c r="O53" s="292"/>
      <c r="P53" s="292"/>
      <c r="Q53" s="292"/>
      <c r="R53" s="292"/>
      <c r="S53" s="293"/>
      <c r="T53" s="248"/>
      <c r="U53" s="248"/>
      <c r="V53" s="257"/>
      <c r="W53" s="258"/>
      <c r="X53" s="29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</row>
    <row r="54" spans="1:43" s="135" customFormat="1" ht="21.9" customHeight="1" x14ac:dyDescent="0.25">
      <c r="A54" s="326" t="s">
        <v>66</v>
      </c>
      <c r="B54" s="327">
        <f>IF(AND($E26&lt;&gt;"",$D26=""),$E26,IF(AND($E26="",$D26&lt;&gt;""),$D26,IF(AND($E26="",$F26&lt;&gt;""),$F26,0)))</f>
        <v>0</v>
      </c>
      <c r="C54" s="328" t="s">
        <v>29</v>
      </c>
      <c r="D54" s="329">
        <f>$I$26</f>
        <v>0</v>
      </c>
      <c r="E54" s="328" t="s">
        <v>30</v>
      </c>
      <c r="F54" s="334">
        <f>IF((YEAR(K$50)-YEAR(X40))*12+MONTH(K$50)-MONTH(X40)&lt;0,0,(YEAR(K$50)-YEAR(X40))*12+MONTH(K$50)-MONTH(X40))</f>
        <v>71</v>
      </c>
      <c r="G54" s="328" t="s">
        <v>31</v>
      </c>
      <c r="H54" s="327" t="str">
        <f>IF(AND(D26&lt;=0,OR(X26=1,V54=FALSE)),"S/O",
IF($I26&lt;F54,B54,
(B54/D54)*F54))</f>
        <v>S/O</v>
      </c>
      <c r="I54" s="335"/>
      <c r="J54" s="335"/>
      <c r="K54" s="336"/>
      <c r="L54" s="331"/>
      <c r="M54" s="331"/>
      <c r="N54" s="331"/>
      <c r="O54" s="331"/>
      <c r="P54" s="331"/>
      <c r="Q54" s="331"/>
      <c r="R54" s="331"/>
      <c r="S54" s="332"/>
      <c r="T54" s="248"/>
      <c r="U54" s="248"/>
      <c r="V54" s="255" t="b">
        <f>AND(E26&gt;0,J26="Canadien",K26="Non")</f>
        <v>0</v>
      </c>
      <c r="W54" s="256" t="str">
        <f>IF(X26&gt;0,"S/O",
IF(AND($E26&gt;0,K26="Oui"),"S/O (dist. apparenté au requérant)",
IF(AND($E26&gt;0,$X26=0,$J26="Canadien",$K26=""),"Information manquante",
IF(AND($E26&gt;0,$X26=0,$J26="",$K26&lt;&gt;"Oui"),"Information manquante",
IF(AND($E26&gt;0,$X26=0,$J26="Canadien",$K26="Non"),"ADA totale (droits CAN)",
IF(D26&gt;0,"Montant total des droits de diffusion",
IF(OR($J26="International",F26&gt;0),"S/O (droits int.)","")))))))</f>
        <v/>
      </c>
      <c r="X54" s="333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</row>
    <row r="55" spans="1:43" s="135" customFormat="1" ht="27.6" x14ac:dyDescent="0.25">
      <c r="A55" s="274"/>
      <c r="B55" s="257" t="str">
        <f>W54</f>
        <v/>
      </c>
      <c r="C55" s="266"/>
      <c r="D55" s="266" t="s">
        <v>75</v>
      </c>
      <c r="E55" s="264"/>
      <c r="F55" s="266" t="s">
        <v>76</v>
      </c>
      <c r="G55" s="264"/>
      <c r="H55" s="257" t="s">
        <v>77</v>
      </c>
      <c r="I55" s="267"/>
      <c r="J55" s="267"/>
      <c r="K55" s="268"/>
      <c r="L55" s="292"/>
      <c r="M55" s="292"/>
      <c r="N55" s="292"/>
      <c r="O55" s="292"/>
      <c r="P55" s="292"/>
      <c r="Q55" s="292"/>
      <c r="R55" s="292"/>
      <c r="S55" s="293"/>
      <c r="T55" s="248"/>
      <c r="U55" s="248"/>
      <c r="V55" s="257"/>
      <c r="W55" s="258"/>
      <c r="X55" s="29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</row>
    <row r="56" spans="1:43" s="135" customFormat="1" ht="21.9" customHeight="1" x14ac:dyDescent="0.25">
      <c r="A56" s="326" t="s">
        <v>67</v>
      </c>
      <c r="B56" s="327">
        <f>IF(AND($E27&lt;&gt;"",$D27=""),$E27,IF(AND($E27="",$D27&lt;&gt;""),$D27,IF(AND($E27="",$F27&lt;&gt;""),$F27,0)))</f>
        <v>0</v>
      </c>
      <c r="C56" s="328" t="s">
        <v>29</v>
      </c>
      <c r="D56" s="334">
        <f>$I$27</f>
        <v>0</v>
      </c>
      <c r="E56" s="328" t="s">
        <v>30</v>
      </c>
      <c r="F56" s="334">
        <f>IF((YEAR(K$50)-YEAR(X41))*12+MONTH(K$50)-MONTH(X41)&lt;0,0,(YEAR(K$50)-YEAR(X41))*12+MONTH(K$50)-MONTH(X41))</f>
        <v>71</v>
      </c>
      <c r="G56" s="328" t="s">
        <v>31</v>
      </c>
      <c r="H56" s="337" t="str">
        <f>IF(AND(D27&lt;=0,OR(X27=1,V56=FALSE)),"S/O",
IF($I27&lt;F56,B56,
(B56/D56)*F56))</f>
        <v>S/O</v>
      </c>
      <c r="I56" s="335"/>
      <c r="J56" s="335"/>
      <c r="K56" s="336"/>
      <c r="L56" s="331"/>
      <c r="M56" s="331"/>
      <c r="N56" s="331"/>
      <c r="O56" s="331"/>
      <c r="P56" s="331"/>
      <c r="Q56" s="331"/>
      <c r="R56" s="331"/>
      <c r="S56" s="332"/>
      <c r="T56" s="248"/>
      <c r="U56" s="248"/>
      <c r="V56" s="255" t="b">
        <f>AND(E27&gt;0,J27="Canadien",K27="Non")</f>
        <v>0</v>
      </c>
      <c r="W56" s="256" t="str">
        <f>IF(X27&gt;0,"S/O",
IF(AND($E27&gt;0,K27="Oui"),"S/O (dist. apparenté au requérant)",
IF(AND($E27&gt;0,$X27=0,$J27="Canadien",$K27=""),"Information manquante",
IF(AND($E27&gt;0,$X27=0,$J27="",$K27&lt;&gt;"Oui"),"Information manquante",
IF(AND($E27&gt;0,$X27=0,$J27="Canadien",$K27="Non"),"ADA totale (droits CAN)",
IF(D27&gt;0,"Montant total des droits de diffusion",
IF(OR($J27="International",F27&gt;0),"S/O (droits int.)","")))))))</f>
        <v/>
      </c>
      <c r="X56" s="333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</row>
    <row r="57" spans="1:43" s="135" customFormat="1" ht="27.6" x14ac:dyDescent="0.25">
      <c r="A57" s="263"/>
      <c r="B57" s="257" t="str">
        <f>$W56</f>
        <v/>
      </c>
      <c r="C57" s="266"/>
      <c r="D57" s="266" t="s">
        <v>75</v>
      </c>
      <c r="E57" s="264"/>
      <c r="F57" s="266" t="s">
        <v>76</v>
      </c>
      <c r="G57" s="264"/>
      <c r="H57" s="257" t="s">
        <v>77</v>
      </c>
      <c r="I57" s="267"/>
      <c r="J57" s="267"/>
      <c r="K57" s="268"/>
      <c r="L57" s="292"/>
      <c r="M57" s="292"/>
      <c r="N57" s="292"/>
      <c r="O57" s="292"/>
      <c r="P57" s="292"/>
      <c r="Q57" s="292"/>
      <c r="R57" s="292"/>
      <c r="S57" s="293"/>
      <c r="T57" s="248"/>
      <c r="U57" s="248"/>
      <c r="V57" s="257"/>
      <c r="W57" s="230"/>
      <c r="X57" s="29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  <c r="AO57" s="134"/>
    </row>
    <row r="58" spans="1:43" s="135" customFormat="1" ht="21.9" customHeight="1" x14ac:dyDescent="0.25">
      <c r="A58" s="326" t="s">
        <v>68</v>
      </c>
      <c r="B58" s="327">
        <f>IF(AND($E28&lt;&gt;"",$D28=""),$E28,IF(AND($E28="",$D28&lt;&gt;""),$D28,IF(AND($E28="",$F28&lt;&gt;""),$F28,0)))</f>
        <v>0</v>
      </c>
      <c r="C58" s="328" t="s">
        <v>29</v>
      </c>
      <c r="D58" s="334">
        <f>$I$28</f>
        <v>0</v>
      </c>
      <c r="E58" s="328" t="s">
        <v>30</v>
      </c>
      <c r="F58" s="334">
        <f>IF((YEAR(K$50)-YEAR(X42))*12+MONTH(K$50)-MONTH(X42)&lt;0,0,(YEAR(K$50)-YEAR(X42))*12+MONTH(K$50)-MONTH(X42))</f>
        <v>71</v>
      </c>
      <c r="G58" s="328" t="s">
        <v>31</v>
      </c>
      <c r="H58" s="327" t="str">
        <f>IF(AND(D28&lt;=0,OR(X28=1,V58=FALSE)),"S/O",
IF($I28&lt;F58,B58,
(B58/D58)*F58))</f>
        <v>S/O</v>
      </c>
      <c r="I58" s="335"/>
      <c r="J58" s="335"/>
      <c r="K58" s="336"/>
      <c r="L58" s="331"/>
      <c r="M58" s="331"/>
      <c r="N58" s="331"/>
      <c r="O58" s="331"/>
      <c r="P58" s="331"/>
      <c r="Q58" s="331"/>
      <c r="R58" s="331"/>
      <c r="S58" s="332"/>
      <c r="T58" s="332"/>
      <c r="U58" s="332"/>
      <c r="V58" s="255" t="b">
        <f>AND(E28&gt;0,J28="Canadien",K28="Non")</f>
        <v>0</v>
      </c>
      <c r="W58" s="256" t="str">
        <f>IF(X28&gt;0,"S/O",
IF(AND($E28&gt;0,K28="Oui"),"S/O (dist. apparenté au requérant)",
IF(AND($E28&gt;0,$X28=0,$J28="Canadien",$K28=""),"Information manquante",
IF(AND($E28&gt;0,$X28=0,$J28="",$K28&lt;&gt;"Oui"),"Information manquante",
IF(AND($E28&gt;0,$X28=0,$J28="Canadien",$K28="Non"),"ADA totale (droits CAN)",
IF(D28&gt;0,"Montant total des droits de diffusion",
IF(OR($J28="International",F28&gt;0),"S/O (droits int.)","")))))))</f>
        <v/>
      </c>
      <c r="X58" s="333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</row>
    <row r="59" spans="1:43" s="135" customFormat="1" ht="27.6" x14ac:dyDescent="0.25">
      <c r="A59" s="272"/>
      <c r="B59" s="257" t="str">
        <f>$W58</f>
        <v/>
      </c>
      <c r="C59" s="266"/>
      <c r="D59" s="266" t="s">
        <v>75</v>
      </c>
      <c r="E59" s="264"/>
      <c r="F59" s="266" t="s">
        <v>76</v>
      </c>
      <c r="G59" s="264"/>
      <c r="H59" s="257" t="s">
        <v>77</v>
      </c>
      <c r="I59" s="267"/>
      <c r="J59" s="267"/>
      <c r="K59" s="268"/>
      <c r="L59" s="292"/>
      <c r="M59" s="292"/>
      <c r="N59" s="292"/>
      <c r="O59" s="292"/>
      <c r="P59" s="292"/>
      <c r="Q59" s="292"/>
      <c r="R59" s="292"/>
      <c r="S59" s="293"/>
      <c r="T59" s="293"/>
      <c r="U59" s="293"/>
      <c r="V59" s="257"/>
      <c r="W59" s="230"/>
      <c r="X59" s="294"/>
      <c r="Y59" s="134"/>
      <c r="Z59" s="134"/>
      <c r="AA59" s="134"/>
      <c r="AB59" s="134"/>
      <c r="AC59" s="134"/>
      <c r="AD59" s="134"/>
      <c r="AE59" s="134"/>
      <c r="AF59" s="134"/>
      <c r="AG59" s="134"/>
      <c r="AH59" s="134"/>
      <c r="AI59" s="134"/>
      <c r="AJ59" s="134"/>
      <c r="AK59" s="134"/>
      <c r="AL59" s="134"/>
      <c r="AM59" s="134"/>
      <c r="AN59" s="134"/>
      <c r="AO59" s="134"/>
    </row>
    <row r="60" spans="1:43" s="135" customFormat="1" ht="21.9" customHeight="1" x14ac:dyDescent="0.25">
      <c r="A60" s="326" t="s">
        <v>69</v>
      </c>
      <c r="B60" s="327">
        <f>IF(AND($E29&lt;&gt;"",$D29=""),$E29,IF(AND($E29="",$D29&lt;&gt;""),$D29,IF(AND($E29="",$F29&lt;&gt;""),$F29,0)))</f>
        <v>0</v>
      </c>
      <c r="C60" s="328" t="s">
        <v>29</v>
      </c>
      <c r="D60" s="334">
        <f>$I$29</f>
        <v>0</v>
      </c>
      <c r="E60" s="328" t="s">
        <v>30</v>
      </c>
      <c r="F60" s="334">
        <f>IF((YEAR(K$50)-YEAR(X43))*12+MONTH(K$50)-MONTH(X43)&lt;0,0,(YEAR(K$50)-YEAR(X43))*12+MONTH(K$50)-MONTH(X43))</f>
        <v>71</v>
      </c>
      <c r="G60" s="328" t="s">
        <v>31</v>
      </c>
      <c r="H60" s="327" t="str">
        <f>IF(AND(D29&lt;=0,OR(X29=1,V60=FALSE)),"S/O",
IF($I29&lt;F60,B60,
(B60/D60)*F60))</f>
        <v>S/O</v>
      </c>
      <c r="I60" s="335"/>
      <c r="J60" s="335"/>
      <c r="K60" s="336"/>
      <c r="L60" s="331"/>
      <c r="M60" s="331"/>
      <c r="N60" s="331"/>
      <c r="O60" s="331"/>
      <c r="P60" s="331"/>
      <c r="Q60" s="331"/>
      <c r="R60" s="331"/>
      <c r="S60" s="332"/>
      <c r="T60" s="332"/>
      <c r="U60" s="332"/>
      <c r="V60" s="255" t="b">
        <f>AND(E29&gt;0,J29="Canadien",K29="Non")</f>
        <v>0</v>
      </c>
      <c r="W60" s="256" t="str">
        <f>IF(X29&gt;0,"S/O",
IF(AND($E29&gt;0,K29="Oui"),"S/O (dist. apparenté au requérant)",
IF(AND($E29&gt;0,$X29=0,$J29="Canadien",$K29=""),"Information manquante",
IF(AND($E29&gt;0,$X29=0,$J29="",$K29&lt;&gt;"Oui"),"Information manquante",
IF(AND($E29&gt;0,$X29=0,$J29="Canadien",$K29="Non"),"ADA totale (droits CAN)",
IF(D29&gt;0,"Montant total des droits de diffusion",
IF(OR($J29="International",F29&gt;0),"S/O (droits int.)","")))))))</f>
        <v/>
      </c>
      <c r="X60" s="333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134"/>
      <c r="AN60" s="134"/>
      <c r="AO60" s="134"/>
    </row>
    <row r="61" spans="1:43" s="135" customFormat="1" ht="27.6" x14ac:dyDescent="0.25">
      <c r="A61" s="275"/>
      <c r="B61" s="276" t="str">
        <f>$W60</f>
        <v/>
      </c>
      <c r="C61" s="265"/>
      <c r="D61" s="265" t="s">
        <v>75</v>
      </c>
      <c r="E61" s="260"/>
      <c r="F61" s="265" t="s">
        <v>76</v>
      </c>
      <c r="G61" s="260"/>
      <c r="H61" s="276" t="s">
        <v>77</v>
      </c>
      <c r="I61" s="270"/>
      <c r="J61" s="270"/>
      <c r="K61" s="271"/>
      <c r="L61" s="292"/>
      <c r="M61" s="292"/>
      <c r="N61" s="292"/>
      <c r="O61" s="292"/>
      <c r="P61" s="292"/>
      <c r="Q61" s="292"/>
      <c r="R61" s="292"/>
      <c r="S61" s="293"/>
      <c r="T61" s="293"/>
      <c r="U61" s="293"/>
      <c r="V61" s="293"/>
      <c r="W61" s="293"/>
      <c r="X61" s="29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4"/>
    </row>
    <row r="62" spans="1:43" s="39" customFormat="1" ht="15.6" x14ac:dyDescent="0.2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</row>
    <row r="63" spans="1:43" s="135" customFormat="1" ht="33" customHeight="1" x14ac:dyDescent="0.25">
      <c r="A63" s="434" t="s">
        <v>100</v>
      </c>
      <c r="B63" s="435"/>
      <c r="C63" s="436"/>
      <c r="D63"/>
      <c r="E63"/>
      <c r="F63"/>
      <c r="G63" s="338" t="s">
        <v>180</v>
      </c>
      <c r="H63"/>
      <c r="I63"/>
      <c r="J63"/>
      <c r="K63"/>
      <c r="L63"/>
      <c r="M63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</row>
    <row r="64" spans="1:43" s="135" customFormat="1" ht="72.599999999999994" customHeight="1" x14ac:dyDescent="0.25">
      <c r="A64" s="348">
        <v>1</v>
      </c>
      <c r="B64" s="123" t="s">
        <v>78</v>
      </c>
      <c r="C64" s="137" t="s">
        <v>79</v>
      </c>
      <c r="D64" s="137" t="s">
        <v>80</v>
      </c>
      <c r="E64" s="138" t="s">
        <v>81</v>
      </c>
      <c r="F64" s="139" t="s">
        <v>90</v>
      </c>
      <c r="G64" s="140" t="s">
        <v>121</v>
      </c>
      <c r="H64" s="347"/>
      <c r="I64" s="348"/>
      <c r="J64" s="349"/>
      <c r="K64" s="349"/>
      <c r="L64" s="319"/>
      <c r="M64" s="319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</row>
    <row r="65" spans="1:49" s="135" customFormat="1" ht="15.6" x14ac:dyDescent="0.25">
      <c r="A65" s="35"/>
      <c r="B65" s="141"/>
      <c r="C65" s="142"/>
      <c r="D65" s="142"/>
      <c r="E65" s="142"/>
      <c r="F65" s="142"/>
      <c r="G65" s="142"/>
      <c r="H65" s="350" t="s">
        <v>179</v>
      </c>
      <c r="I65" s="349"/>
      <c r="J65" s="349"/>
      <c r="K65" s="217" t="s">
        <v>58</v>
      </c>
      <c r="L65" s="319"/>
      <c r="M65" s="320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</row>
    <row r="66" spans="1:49" s="135" customFormat="1" ht="72.599999999999994" customHeight="1" x14ac:dyDescent="0.25">
      <c r="A66" s="35"/>
      <c r="B66" s="143" t="s">
        <v>97</v>
      </c>
      <c r="C66" s="144" t="s">
        <v>98</v>
      </c>
      <c r="D66" s="145" t="str">
        <f>IF(A$64=2,IF($E$7*10%&gt;=60000,60000,ROUND($E$7*10%,0)),"S/O")</f>
        <v>S/O</v>
      </c>
      <c r="E66" s="166" t="str">
        <f>IF($D66="S/O","S/O",IF(ROUND($G$44+$H$44+$I$44,0)&gt;=ROUND($D66,0),"Oui","Non"))</f>
        <v>S/O</v>
      </c>
      <c r="F66" s="200" t="str">
        <f>IF($E66="S/O","S/O",ROUND($G$44+$H$44+$I$44-$D66,0))</f>
        <v>S/O</v>
      </c>
      <c r="G66" s="201" t="str">
        <f>IF(D66="S/O","S/O",
IF(AND($A$64=2,F$30&gt;0,G$44+H$44&gt;=51%*D66),MAX(ROUND(D66-G$44-H$44,0),0),0))</f>
        <v>S/O</v>
      </c>
      <c r="H66" s="351" t="s">
        <v>141</v>
      </c>
      <c r="I66" s="349"/>
      <c r="J66" s="347"/>
      <c r="K66" s="217" t="s">
        <v>83</v>
      </c>
      <c r="L66" s="320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</row>
    <row r="67" spans="1:49" s="164" customFormat="1" ht="67.95" customHeight="1" x14ac:dyDescent="0.25">
      <c r="A67" s="219"/>
      <c r="B67" s="147" t="s">
        <v>82</v>
      </c>
      <c r="C67" s="148" t="s">
        <v>99</v>
      </c>
      <c r="D67" s="145" t="str">
        <f>IF(A$64=3,IF($E$7*15%&gt;=60000*$K$7,ROUND(60000*$K$7,0),ROUND($E$7*15%,0)),"S/O")</f>
        <v>S/O</v>
      </c>
      <c r="E67" s="166" t="str">
        <f>IF($D67="S/O","S/O",IF(ROUND($G$44+$H$44+$I$44,0)&gt;=ROUND($D67,0),"Oui","Non"))</f>
        <v>S/O</v>
      </c>
      <c r="F67" s="200" t="str">
        <f>IF($E67="S/O","S/O",ROUND($G$44+$H$44+$I$44-$D67,0))</f>
        <v>S/O</v>
      </c>
      <c r="G67" s="201" t="str">
        <f>IF(D67="S/O","S/O",
IF(AND($A$64=3,F$30&gt;0,G$44+H$44&gt;=51%*D67),MAX(ROUND(D67-G$44-H$44,0),0),0))</f>
        <v>S/O</v>
      </c>
      <c r="H67" s="219"/>
      <c r="I67" s="349"/>
      <c r="J67" s="219"/>
      <c r="K67" s="219"/>
      <c r="L67" s="320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</row>
    <row r="68" spans="1:49" s="72" customFormat="1" ht="15.6" hidden="1" x14ac:dyDescent="0.25">
      <c r="C68" s="39"/>
      <c r="D68" s="39"/>
      <c r="E68" s="39"/>
      <c r="F68" s="39"/>
      <c r="G68" s="39"/>
      <c r="H68" s="39"/>
      <c r="I68" s="31"/>
      <c r="J68" s="31"/>
      <c r="K68" s="31"/>
      <c r="L68" s="31"/>
      <c r="M68" s="31"/>
      <c r="N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</row>
    <row r="69" spans="1:49" s="72" customFormat="1" ht="15.6" hidden="1" x14ac:dyDescent="0.25">
      <c r="C69" s="39"/>
      <c r="D69" s="39"/>
      <c r="E69" s="39"/>
      <c r="F69" s="39"/>
      <c r="G69" s="39"/>
      <c r="H69" s="39"/>
      <c r="I69" s="31"/>
      <c r="J69" s="31"/>
      <c r="K69" s="31"/>
      <c r="L69" s="31"/>
      <c r="M69" s="31"/>
      <c r="N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</row>
    <row r="70" spans="1:49" s="72" customFormat="1" ht="15.6" hidden="1" x14ac:dyDescent="0.25">
      <c r="C70" s="39"/>
      <c r="D70" s="39"/>
      <c r="E70" s="39"/>
      <c r="F70" s="39"/>
      <c r="G70" s="39"/>
      <c r="H70" s="39"/>
      <c r="I70" s="31"/>
      <c r="J70" s="31"/>
      <c r="K70" s="31"/>
      <c r="L70" s="31"/>
      <c r="M70" s="31"/>
      <c r="N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</row>
    <row r="71" spans="1:49" s="72" customFormat="1" ht="15.6" hidden="1" x14ac:dyDescent="0.25">
      <c r="C71" s="39"/>
      <c r="D71" s="39"/>
      <c r="E71" s="39"/>
      <c r="F71" s="39"/>
      <c r="G71" s="39"/>
      <c r="H71" s="39"/>
      <c r="I71" s="31"/>
      <c r="J71" s="31"/>
      <c r="K71" s="31"/>
      <c r="L71" s="31"/>
      <c r="M71" s="31"/>
      <c r="N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</row>
    <row r="72" spans="1:49" s="72" customFormat="1" ht="15.6" hidden="1" x14ac:dyDescent="0.25">
      <c r="C72" s="39"/>
      <c r="D72" s="39"/>
      <c r="E72" s="39"/>
      <c r="F72" s="39"/>
      <c r="G72" s="39"/>
      <c r="H72" s="39"/>
      <c r="I72" s="31"/>
      <c r="J72" s="31"/>
      <c r="K72" s="31"/>
      <c r="L72" s="31"/>
      <c r="M72" s="31"/>
      <c r="N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</row>
    <row r="73" spans="1:49" s="72" customFormat="1" ht="15.6" hidden="1" x14ac:dyDescent="0.25">
      <c r="C73" s="39"/>
      <c r="D73" s="39"/>
      <c r="E73" s="39"/>
      <c r="F73" s="39"/>
      <c r="G73" s="39"/>
      <c r="H73" s="39"/>
      <c r="I73" s="31"/>
      <c r="J73" s="31"/>
      <c r="K73" s="31"/>
      <c r="L73" s="31"/>
      <c r="M73" s="31"/>
      <c r="N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</row>
    <row r="74" spans="1:49" s="39" customFormat="1" ht="15.6" hidden="1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6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</row>
    <row r="75" spans="1:49" s="72" customFormat="1" ht="15.6" x14ac:dyDescent="0.25">
      <c r="C75" s="39"/>
      <c r="D75" s="39"/>
      <c r="E75" s="39"/>
      <c r="F75" s="39"/>
      <c r="G75" s="39"/>
      <c r="H75" s="39"/>
      <c r="I75" s="31"/>
      <c r="J75" s="31"/>
      <c r="K75" s="31"/>
      <c r="L75" s="31"/>
      <c r="M75" s="31"/>
      <c r="N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</row>
    <row r="76" spans="1:49" s="159" customFormat="1" ht="15.6" x14ac:dyDescent="0.25">
      <c r="A76" s="464" t="s">
        <v>84</v>
      </c>
      <c r="B76" s="464"/>
      <c r="C76" s="158"/>
      <c r="E76" s="160"/>
      <c r="F76" s="160"/>
      <c r="G76" s="160"/>
      <c r="H76" s="160"/>
      <c r="I76" s="160"/>
      <c r="J76" s="160"/>
      <c r="K76" s="160"/>
      <c r="L76" s="160"/>
      <c r="M76" s="134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</row>
    <row r="77" spans="1:49" s="159" customFormat="1" ht="30" customHeight="1" x14ac:dyDescent="0.25">
      <c r="A77" s="149"/>
      <c r="B77" s="150"/>
      <c r="C77" s="412" t="s">
        <v>94</v>
      </c>
      <c r="D77" s="410"/>
      <c r="E77" s="401"/>
      <c r="F77" s="411" t="s">
        <v>104</v>
      </c>
      <c r="G77" s="410"/>
      <c r="H77" s="401"/>
      <c r="I77" s="443" t="s">
        <v>182</v>
      </c>
      <c r="J77" s="444"/>
      <c r="K77" s="444"/>
      <c r="L77"/>
      <c r="M77"/>
      <c r="N77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</row>
    <row r="78" spans="1:49" s="163" customFormat="1" ht="48" customHeight="1" x14ac:dyDescent="0.25">
      <c r="A78" s="450" t="s">
        <v>184</v>
      </c>
      <c r="B78" s="401"/>
      <c r="C78" s="152" t="s">
        <v>103</v>
      </c>
      <c r="D78" s="152" t="s">
        <v>85</v>
      </c>
      <c r="E78" s="152" t="s">
        <v>86</v>
      </c>
      <c r="F78" s="153" t="s">
        <v>87</v>
      </c>
      <c r="G78" s="153" t="s">
        <v>85</v>
      </c>
      <c r="H78" s="153" t="s">
        <v>86</v>
      </c>
      <c r="I78" s="154" t="s">
        <v>87</v>
      </c>
      <c r="J78" s="154" t="s">
        <v>85</v>
      </c>
      <c r="K78" s="154" t="s">
        <v>86</v>
      </c>
      <c r="L78"/>
      <c r="M78"/>
      <c r="N78"/>
      <c r="P78" s="161"/>
      <c r="Q78" s="161"/>
      <c r="R78" s="161"/>
      <c r="S78" s="162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161"/>
      <c r="AR78" s="161"/>
      <c r="AS78" s="161"/>
      <c r="AT78" s="161"/>
      <c r="AU78" s="161"/>
      <c r="AV78" s="161"/>
      <c r="AW78" s="161"/>
    </row>
    <row r="79" spans="1:49" s="135" customFormat="1" ht="60.45" customHeight="1" x14ac:dyDescent="0.25">
      <c r="A79" s="441" t="s">
        <v>101</v>
      </c>
      <c r="B79" s="442"/>
      <c r="C79" s="204" t="str">
        <f>IF(OR(A$64=2,A$64=3),IF($X$10&lt;&gt;"Oui",ROUND(N($F$79),0),MIN(ROUND(N($F$79)+N($I$79),0),ROUND(84%*$E$7,0))),
"S/O")</f>
        <v>S/O</v>
      </c>
      <c r="D79" s="157" t="str">
        <f>IF(OR(A$64=2,A$64=3),IF(OR($C$30&gt;C79,G79="Non",J79="Non"),"Non","Oui"),
"S/O")</f>
        <v>S/O</v>
      </c>
      <c r="E79" s="146" t="str">
        <f>IF(D79="Non",MAX($C$30+$E$13-C79,N(H79)+N(K79)),"S/O")</f>
        <v>S/O</v>
      </c>
      <c r="F79" s="146" t="str">
        <f>IF(OR(A$64=2,A$64=3),IF((0.49*$E$7)&lt;400000,ROUND((0.49*$E$7),0),400000),"S/O")</f>
        <v>S/O</v>
      </c>
      <c r="G79" s="157" t="str">
        <f>IF(OR(A$64=2,A$64=3),IF($E$17&gt;F79,"Non","Oui"), "S/O")</f>
        <v>S/O</v>
      </c>
      <c r="H79" s="146" t="str">
        <f>IF(G79="Non",$E$17-F79,"S/O")</f>
        <v>S/O</v>
      </c>
      <c r="I79" s="146" t="str">
        <f>IF(OR(A$64=2,A$64=3),
IF($X$10="Oui",MIN(ROUND(($F$10*$E$7),0),ROUND(84%*$E$7-$E$37,0)),
"S/O"),"S/O")</f>
        <v>S/O</v>
      </c>
      <c r="J79" s="157" t="str">
        <f>IF(I79="S/O","S/O",IF(OR(A$64=2,A$64=3),IF($X$16&gt;I79,"Non","Oui"), "S/O"))</f>
        <v>S/O</v>
      </c>
      <c r="K79" s="146" t="str">
        <f>IF(J79="Non",$X$16-I79,"S/O")</f>
        <v>S/O</v>
      </c>
      <c r="L79"/>
      <c r="M79"/>
      <c r="N79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</row>
    <row r="80" spans="1:49" s="135" customFormat="1" ht="69.900000000000006" hidden="1" customHeight="1" x14ac:dyDescent="0.25">
      <c r="A80" s="155" t="str">
        <f>B67</f>
        <v>Autres documentaires d'auteur</v>
      </c>
      <c r="B80" s="156" t="s">
        <v>101</v>
      </c>
      <c r="C80" s="145" t="str">
        <f>IF(A$64=3,IF($X$10&lt;&gt;"Oui",IF($X$14&lt;&gt;"Oui",F80,MIN(F80+N(L80),ROUND(0.84*$E$7,0))),IF($X$14&lt;&gt;"Oui",MIN((F80+N(I80)),ROUND((0.84*$E$7),0)),MIN((F80+N(I80)+N(L80)),ROUND((0.84*$E$7),0)))),"S/O")</f>
        <v>S/O</v>
      </c>
      <c r="D80" s="157" t="str">
        <f>IF($A$64=3,IF(OR($C$30+IF($X$14="Oui",$E$13,0)&gt;C80,G80="Non",J80="Non",M80="Non"),"Non","Oui"), "S/O")</f>
        <v>S/O</v>
      </c>
      <c r="E80" s="145" t="str">
        <f>IF(D80="Non",MAX($C$30+$E$13-C80,N(H80)+N(K80)+N(N80)),"S/O")</f>
        <v>S/O</v>
      </c>
      <c r="F80" s="145" t="str">
        <f>IF(A$64=3,IF((0.49*$E$7)&lt;400000,ROUND((0.49*$E$7),0),400000),"S/O")</f>
        <v>S/O</v>
      </c>
      <c r="G80" s="157" t="str">
        <f>IF($A$64=3,IF($E$17&gt;F80,"Non","Oui"), "S/O")</f>
        <v>S/O</v>
      </c>
      <c r="H80" s="145" t="str">
        <f>IF(G80="Non",$E$17-F80,"S/O")</f>
        <v>S/O</v>
      </c>
      <c r="I80" s="145" t="str">
        <f>IF($A$64=3,IF($X$10="Oui",IF($I$64=4,ROUND(($F$10*$E$7),0)-#REF!,ROUND(($F$10*$E$7),0)),"S/O"),"S/O")</f>
        <v>S/O</v>
      </c>
      <c r="J80" s="157" t="str">
        <f>IF(I80="S/O","S/O",IF($A$64=3,IF($X$16&gt;I80,"Non","Oui"), "S/O"))</f>
        <v>S/O</v>
      </c>
      <c r="K80" s="146" t="str">
        <f>IF(J80="Non",$X$16-I80,"S/O")</f>
        <v>S/O</v>
      </c>
      <c r="L80"/>
      <c r="M80"/>
      <c r="N80"/>
      <c r="P80" s="134"/>
      <c r="Q80" s="134"/>
      <c r="R80" s="165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</row>
    <row r="81" spans="1:41" customFormat="1" x14ac:dyDescent="0.25"/>
    <row r="82" spans="1:41" x14ac:dyDescent="0.25">
      <c r="M82" s="43"/>
      <c r="N82" s="43"/>
      <c r="O82" s="43"/>
      <c r="AL82" s="68"/>
      <c r="AM82" s="68"/>
      <c r="AN82" s="68"/>
      <c r="AO82" s="68"/>
    </row>
    <row r="83" spans="1:41" x14ac:dyDescent="0.25">
      <c r="M83" s="43"/>
      <c r="N83" s="43"/>
      <c r="O83" s="43"/>
      <c r="AL83" s="68"/>
      <c r="AM83" s="68"/>
      <c r="AN83" s="68"/>
      <c r="AO83" s="68"/>
    </row>
    <row r="84" spans="1:41" x14ac:dyDescent="0.25">
      <c r="M84" s="43"/>
      <c r="N84" s="43"/>
      <c r="O84" s="43"/>
      <c r="AL84" s="68"/>
      <c r="AM84" s="68"/>
      <c r="AN84" s="68"/>
      <c r="AO84" s="68"/>
    </row>
    <row r="85" spans="1:41" x14ac:dyDescent="0.25">
      <c r="M85" s="43"/>
      <c r="N85" s="43"/>
      <c r="O85" s="43"/>
      <c r="AL85" s="68"/>
      <c r="AM85" s="68"/>
      <c r="AN85" s="68"/>
      <c r="AO85" s="68"/>
    </row>
    <row r="86" spans="1:41" x14ac:dyDescent="0.25">
      <c r="AL86" s="68"/>
      <c r="AM86" s="68"/>
      <c r="AN86" s="68"/>
      <c r="AO86" s="68"/>
    </row>
    <row r="87" spans="1:41" x14ac:dyDescent="0.25">
      <c r="AL87" s="68"/>
      <c r="AM87" s="68"/>
      <c r="AN87" s="68"/>
      <c r="AO87" s="68"/>
    </row>
    <row r="88" spans="1:41" x14ac:dyDescent="0.25">
      <c r="AL88" s="68"/>
      <c r="AM88" s="68"/>
      <c r="AN88" s="68"/>
      <c r="AO88" s="68"/>
    </row>
    <row r="89" spans="1:41" x14ac:dyDescent="0.25">
      <c r="AL89" s="68"/>
      <c r="AM89" s="68"/>
      <c r="AN89" s="68"/>
      <c r="AO89" s="68"/>
    </row>
    <row r="90" spans="1:41" x14ac:dyDescent="0.25">
      <c r="AL90" s="68"/>
      <c r="AM90" s="68"/>
      <c r="AN90" s="68"/>
      <c r="AO90" s="68"/>
    </row>
    <row r="91" spans="1:41" x14ac:dyDescent="0.25">
      <c r="AL91" s="68"/>
      <c r="AM91" s="68"/>
      <c r="AN91" s="68"/>
      <c r="AO91" s="68"/>
    </row>
    <row r="92" spans="1:41" x14ac:dyDescent="0.25">
      <c r="AL92" s="68"/>
      <c r="AM92" s="68"/>
      <c r="AN92" s="68"/>
      <c r="AO92" s="68"/>
    </row>
    <row r="93" spans="1:41" s="50" customFormat="1" x14ac:dyDescent="0.25">
      <c r="A93" s="1"/>
      <c r="B93" s="74"/>
      <c r="C93" s="2"/>
      <c r="D93" s="2"/>
      <c r="E93" s="1"/>
      <c r="F93" s="1"/>
      <c r="G93" s="1"/>
      <c r="H93" s="1"/>
      <c r="I93" s="1"/>
      <c r="J93" s="1"/>
      <c r="K93" s="1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66"/>
      <c r="AM93" s="66"/>
      <c r="AN93" s="66"/>
      <c r="AO93" s="66"/>
    </row>
    <row r="94" spans="1:41" s="50" customFormat="1" x14ac:dyDescent="0.25">
      <c r="A94" s="1"/>
      <c r="B94" s="380"/>
      <c r="C94" s="380"/>
      <c r="D94" s="380"/>
      <c r="E94" s="1"/>
      <c r="F94" s="1"/>
      <c r="G94" s="1"/>
      <c r="H94" s="1"/>
      <c r="I94" s="1"/>
      <c r="J94" s="1"/>
      <c r="K94" s="1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66"/>
      <c r="AM94" s="66"/>
      <c r="AN94" s="66"/>
      <c r="AO94" s="66"/>
    </row>
    <row r="95" spans="1:41" s="50" customFormat="1" x14ac:dyDescent="0.25">
      <c r="A95" s="1"/>
      <c r="B95" s="379"/>
      <c r="C95" s="379"/>
      <c r="D95" s="379"/>
      <c r="E95" s="1"/>
      <c r="F95" s="1"/>
      <c r="G95" s="1"/>
      <c r="H95" s="1"/>
      <c r="I95" s="1"/>
      <c r="J95" s="1"/>
      <c r="K95" s="1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66"/>
      <c r="AM95" s="66"/>
      <c r="AN95" s="66"/>
      <c r="AO95" s="66"/>
    </row>
  </sheetData>
  <sheetProtection algorithmName="SHA-512" hashValue="8uUiqTdemqzEgwg/jr79vSqQOvwU+xjIwedEiQOzJxj+UAMx3d/CW3CukLOCIivXMH7OxF3FOYaFKJoDki2rTQ==" saltValue="1mpCQlJYRFQOKTq5v11Kng==" spinCount="100000" sheet="1" objects="1" scenarios="1"/>
  <dataConsolidate/>
  <mergeCells count="30">
    <mergeCell ref="B15:D15"/>
    <mergeCell ref="B16:D16"/>
    <mergeCell ref="A21:B21"/>
    <mergeCell ref="A78:B78"/>
    <mergeCell ref="I14:J14"/>
    <mergeCell ref="B17:D17"/>
    <mergeCell ref="I15:J15"/>
    <mergeCell ref="A14:D14"/>
    <mergeCell ref="J22:K23"/>
    <mergeCell ref="F77:H77"/>
    <mergeCell ref="C77:E77"/>
    <mergeCell ref="A36:B36"/>
    <mergeCell ref="A76:B76"/>
    <mergeCell ref="B32:L33"/>
    <mergeCell ref="B95:D95"/>
    <mergeCell ref="B94:D94"/>
    <mergeCell ref="C1:K1"/>
    <mergeCell ref="B2:D2"/>
    <mergeCell ref="F2:G2"/>
    <mergeCell ref="H2:I2"/>
    <mergeCell ref="J2:K2"/>
    <mergeCell ref="A5:B5"/>
    <mergeCell ref="A32:A33"/>
    <mergeCell ref="A63:C63"/>
    <mergeCell ref="I50:J50"/>
    <mergeCell ref="A30:B30"/>
    <mergeCell ref="C7:D7"/>
    <mergeCell ref="C10:D10"/>
    <mergeCell ref="A79:B79"/>
    <mergeCell ref="I77:K77"/>
  </mergeCells>
  <conditionalFormatting sqref="B51 B53 B55 B57 B59 B61">
    <cfRule type="containsText" dxfId="31" priority="3" operator="containsText" text="Information manquante">
      <formula>NOT(ISERROR(SEARCH("Information manquante",B51)))</formula>
    </cfRule>
  </conditionalFormatting>
  <conditionalFormatting sqref="B51">
    <cfRule type="expression" dxfId="30" priority="20">
      <formula>B51=$W$49</formula>
    </cfRule>
  </conditionalFormatting>
  <conditionalFormatting sqref="B53 B55 B57 B59 B61 B51">
    <cfRule type="containsText" dxfId="29" priority="19" operator="containsText" text="S/O">
      <formula>NOT(ISERROR(SEARCH("S/O",B51)))</formula>
    </cfRule>
  </conditionalFormatting>
  <conditionalFormatting sqref="B53">
    <cfRule type="containsText" dxfId="28" priority="17" operator="containsText" text="S/O">
      <formula>NOT(ISERROR(SEARCH("S/O",B53)))</formula>
    </cfRule>
    <cfRule type="expression" dxfId="27" priority="18">
      <formula>B53=$W$49</formula>
    </cfRule>
  </conditionalFormatting>
  <conditionalFormatting sqref="B55">
    <cfRule type="containsText" dxfId="26" priority="15" operator="containsText" text="S/O">
      <formula>NOT(ISERROR(SEARCH("S/O",B55)))</formula>
    </cfRule>
    <cfRule type="expression" dxfId="25" priority="16">
      <formula>B55=$W$49</formula>
    </cfRule>
  </conditionalFormatting>
  <conditionalFormatting sqref="B57">
    <cfRule type="expression" dxfId="24" priority="14">
      <formula>B57=$W$49</formula>
    </cfRule>
  </conditionalFormatting>
  <conditionalFormatting sqref="B59">
    <cfRule type="containsText" dxfId="23" priority="12" operator="containsText" text="S/O">
      <formula>NOT(ISERROR(SEARCH("S/O",B59)))</formula>
    </cfRule>
    <cfRule type="expression" dxfId="22" priority="13">
      <formula>B59=$W$49</formula>
    </cfRule>
  </conditionalFormatting>
  <conditionalFormatting sqref="B61">
    <cfRule type="containsText" dxfId="21" priority="10" operator="containsText" text="S/O">
      <formula>NOT(ISERROR(SEARCH("S/O",B61)))</formula>
    </cfRule>
    <cfRule type="expression" dxfId="20" priority="11">
      <formula>B61=$W$49</formula>
    </cfRule>
  </conditionalFormatting>
  <conditionalFormatting sqref="D79:D80">
    <cfRule type="containsText" dxfId="19" priority="37" operator="containsText" text="No">
      <formula>NOT(ISERROR(SEARCH("No",D79)))</formula>
    </cfRule>
  </conditionalFormatting>
  <conditionalFormatting sqref="D24:E24">
    <cfRule type="expression" dxfId="18" priority="28">
      <formula>$X$24=1</formula>
    </cfRule>
  </conditionalFormatting>
  <conditionalFormatting sqref="D25:F25">
    <cfRule type="expression" dxfId="17" priority="27">
      <formula>$X$25=1</formula>
    </cfRule>
  </conditionalFormatting>
  <conditionalFormatting sqref="D26:F26">
    <cfRule type="expression" dxfId="16" priority="26">
      <formula>$X$26=1</formula>
    </cfRule>
  </conditionalFormatting>
  <conditionalFormatting sqref="D27:F27">
    <cfRule type="expression" dxfId="15" priority="25">
      <formula>$X$27=1</formula>
    </cfRule>
  </conditionalFormatting>
  <conditionalFormatting sqref="D28:F28">
    <cfRule type="expression" dxfId="14" priority="24">
      <formula>$X$28=1</formula>
    </cfRule>
  </conditionalFormatting>
  <conditionalFormatting sqref="D29:F29">
    <cfRule type="expression" dxfId="13" priority="23">
      <formula>$X$29=1</formula>
    </cfRule>
  </conditionalFormatting>
  <conditionalFormatting sqref="E14">
    <cfRule type="expression" dxfId="12" priority="21">
      <formula>$E$11&lt;&gt;"Oui"</formula>
    </cfRule>
  </conditionalFormatting>
  <conditionalFormatting sqref="E16">
    <cfRule type="containsText" dxfId="11" priority="22" operator="containsText" text="Non">
      <formula>NOT(ISERROR(SEARCH("Non",E16)))</formula>
    </cfRule>
  </conditionalFormatting>
  <conditionalFormatting sqref="E66:E67">
    <cfRule type="containsText" dxfId="10" priority="2" operator="containsText" text="No">
      <formula>NOT(ISERROR(SEARCH("No",E66)))</formula>
    </cfRule>
  </conditionalFormatting>
  <conditionalFormatting sqref="G79 J79">
    <cfRule type="containsText" dxfId="9" priority="38" operator="containsText" text="No">
      <formula>NOT(ISERROR(SEARCH("No",G79)))</formula>
    </cfRule>
  </conditionalFormatting>
  <conditionalFormatting sqref="H51">
    <cfRule type="expression" dxfId="7" priority="9">
      <formula>H50&lt;B50</formula>
    </cfRule>
  </conditionalFormatting>
  <conditionalFormatting sqref="H53">
    <cfRule type="expression" dxfId="6" priority="8">
      <formula>H52&lt;B52</formula>
    </cfRule>
  </conditionalFormatting>
  <conditionalFormatting sqref="H55">
    <cfRule type="expression" dxfId="5" priority="7">
      <formula>H54&lt;B54</formula>
    </cfRule>
  </conditionalFormatting>
  <conditionalFormatting sqref="H57">
    <cfRule type="expression" dxfId="4" priority="6">
      <formula>H56&lt;B56</formula>
    </cfRule>
  </conditionalFormatting>
  <conditionalFormatting sqref="H59">
    <cfRule type="expression" dxfId="3" priority="5">
      <formula>H58&lt;B58</formula>
    </cfRule>
  </conditionalFormatting>
  <conditionalFormatting sqref="H61">
    <cfRule type="expression" dxfId="2" priority="4">
      <formula>H60&lt;B60</formula>
    </cfRule>
  </conditionalFormatting>
  <conditionalFormatting sqref="J24:K29">
    <cfRule type="expression" dxfId="0" priority="29">
      <formula>$D24&gt;0</formula>
    </cfRule>
  </conditionalFormatting>
  <dataValidations count="14">
    <dataValidation type="whole" allowBlank="1" showInputMessage="1" showErrorMessage="1" errorTitle="Not a number" error="Enter the Envelope Contribution for this licence" sqref="E38:E46" xr:uid="{518C4E90-9FE3-4A71-A141-842D107C714D}">
      <formula1>0</formula1>
      <formula2>999999999999999</formula2>
    </dataValidation>
    <dataValidation type="list" allowBlank="1" showInputMessage="1" showErrorMessage="1" sqref="F12" xr:uid="{F31B7732-1B75-4724-8820-E582F5FB50C6}">
      <formula1>#REF!</formula1>
    </dataValidation>
    <dataValidation type="date" allowBlank="1" showInputMessage="1" showErrorMessage="1" promptTitle="Date" prompt="ex. A-M-J" sqref="G24:G29" xr:uid="{788D2467-C15E-472E-A327-9921E352E477}">
      <formula1>36526</formula1>
      <formula2>401749</formula2>
    </dataValidation>
    <dataValidation type="decimal" allowBlank="1" showInputMessage="1" showErrorMessage="1" errorTitle="Not a number" error="Enter the Envelope Contribution for this licence" sqref="C24:C27" xr:uid="{E1496B0B-8324-416C-AA75-86A65551287B}">
      <formula1>0</formula1>
      <formula2>999999999999999</formula2>
    </dataValidation>
    <dataValidation type="whole" allowBlank="1" showInputMessage="1" showErrorMessage="1" sqref="V24:V29" xr:uid="{497CCC6F-2EE8-4C8D-BDDE-0F698D9FFD0D}">
      <formula1>0</formula1>
      <formula2>999</formula2>
    </dataValidation>
    <dataValidation allowBlank="1" showInputMessage="1" showErrorMessage="1" promptTitle="# of Months" prompt="Enter adjusted exclusivity in &quot;number of months&quot;." sqref="W38:W43" xr:uid="{98235257-791B-42D4-8767-FB06C07C9A79}"/>
    <dataValidation type="decimal" allowBlank="1" showErrorMessage="1" errorTitle="Not a number" error="Enter the Envelope Contribution for this licence" sqref="C29" xr:uid="{0A4D4496-483F-4661-B35D-6BE9C43F23AD}">
      <formula1>0</formula1>
      <formula2>999999999999999</formula2>
    </dataValidation>
    <dataValidation allowBlank="1" showInputMessage="1" showErrorMessage="1" promptTitle="Nombre de mois" prompt="Saisir la période en mois. Les équations sont permises (ex. : =6*12)" sqref="I24:I29" xr:uid="{46F888EA-6E82-40E3-BA7B-34A274068FF3}"/>
    <dataValidation type="custom" showInputMessage="1" showErrorMessage="1" error="SVP ne pas supprimer" sqref="A64" xr:uid="{AB897DCC-D2E1-4FCD-8C45-783EBAF78A15}">
      <formula1>""</formula1>
    </dataValidation>
    <dataValidation type="decimal" allowBlank="1" showInputMessage="1" showErrorMessage="1" errorTitle="Not a number" error="Enter the Envelope Contribution for this licence" prompt="SVP entrez les télédiffuseurs et distributeurs en premier. Voir note (1) ci-dessus" sqref="F24" xr:uid="{055F039A-098F-4BDF-9884-B685845660AF}">
      <formula1>0</formula1>
      <formula2>999999999999999</formula2>
    </dataValidation>
    <dataValidation type="list" allowBlank="1" showInputMessage="1" showErrorMessage="1" sqref="X14" xr:uid="{05E732FB-8105-40A3-A7A0-438264472CFB}">
      <formula1>$M$65:$M$67</formula1>
    </dataValidation>
    <dataValidation type="list" allowBlank="1" showInputMessage="1" showErrorMessage="1" sqref="E10" xr:uid="{AFFA898E-FA46-4DAE-BE4E-C9B0CD53EB0C}">
      <formula1>$K$65:$K$66</formula1>
    </dataValidation>
    <dataValidation type="list" allowBlank="1" showInputMessage="1" showErrorMessage="1" sqref="J24:J29" xr:uid="{BDCDD74C-167A-46F9-B054-DC690FC8FC75}">
      <formula1>$H$64:$H$66</formula1>
    </dataValidation>
    <dataValidation type="list" allowBlank="1" showInputMessage="1" showErrorMessage="1" sqref="K24:K29" xr:uid="{5E4E2167-B719-4124-8984-19DEAEF6F647}">
      <formula1>$K$64:$K$66</formula1>
    </dataValidation>
  </dataValidations>
  <printOptions horizontalCentered="1"/>
  <pageMargins left="0.6692913385826772" right="0.6692913385826772" top="0.59055118110236227" bottom="0.6692913385826772" header="0.51181102362204722" footer="0.51181102362204722"/>
  <pageSetup scale="63" fitToHeight="3" orientation="landscape" r:id="rId1"/>
  <headerFooter alignWithMargins="0"/>
  <rowBreaks count="2" manualBreakCount="2">
    <brk id="34" max="14" man="1"/>
    <brk id="75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locked="0" defaultSize="0" autoLine="0" autoPict="0">
                <anchor moveWithCells="1">
                  <from>
                    <xdr:col>2</xdr:col>
                    <xdr:colOff>76200</xdr:colOff>
                    <xdr:row>4</xdr:row>
                    <xdr:rowOff>7620</xdr:rowOff>
                  </from>
                  <to>
                    <xdr:col>5</xdr:col>
                    <xdr:colOff>342900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3" operator="containsText" id="{7A5CFC49-8D12-4C15-B7C6-C0DFC39392FE}">
            <xm:f>NOT(ISERROR(SEARCH("No",G80)))</xm:f>
            <xm:f>"No"</xm:f>
            <x14:dxf>
              <font>
                <color rgb="FFFF0000"/>
              </font>
              <fill>
                <patternFill>
                  <fgColor rgb="FFFFFF00"/>
                  <bgColor rgb="FFFFFF00"/>
                </patternFill>
              </fill>
            </x14:dxf>
          </x14:cfRule>
          <xm:sqref>G80</xm:sqref>
        </x14:conditionalFormatting>
        <x14:conditionalFormatting xmlns:xm="http://schemas.microsoft.com/office/excel/2006/main">
          <x14:cfRule type="containsText" priority="42" operator="containsText" id="{09AF932C-B4F3-4FA9-A818-C95B9187CBB4}">
            <xm:f>NOT(ISERROR(SEARCH("No",J80)))</xm:f>
            <xm:f>"No"</xm:f>
            <x14:dxf>
              <font>
                <color rgb="FFFF0000"/>
              </font>
              <fill>
                <patternFill>
                  <fgColor rgb="FFFFFF00"/>
                  <bgColor rgb="FFFFFF00"/>
                </patternFill>
              </fill>
            </x14:dxf>
          </x14:cfRule>
          <xm:sqref>J80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ENGLISH</vt:lpstr>
      <vt:lpstr>FRANÇAIS</vt:lpstr>
      <vt:lpstr>ENGLISH!Zone_d_impression</vt:lpstr>
      <vt:lpstr>FRANÇAIS!Zone_d_impression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2012-05-02T16:23:31Z</dcterms:created>
  <dcterms:modified xsi:type="dcterms:W3CDTF">2026-05-12T20:00:49Z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0x0101007C0EA845696D1948BDEEFC7B350361630100B08C5A147E46AA43866F3438FE350128</vt:lpwstr>
  </property>
  <property fmtid="{D5CDD505-2E9C-101B-9397-08002B2CF9AE}" pid="3" name="_dlc_DocIdItemGuid">
    <vt:lpwstr>5a6c4b3a-6bfd-405a-ad77-b379b5e7d096</vt:lpwstr>
  </property>
  <property fmtid="{D5CDD505-2E9C-101B-9397-08002B2CF9AE}" pid="4" name="TfBusinessProcess">
    <vt:lpwstr>12;#APFMC|5e323734-3c20-4f43-979b-7ae025a18a69</vt:lpwstr>
  </property>
  <property fmtid="{D5CDD505-2E9C-101B-9397-08002B2CF9AE}" pid="5" name="MediaServiceImageTags">
    <vt:lpwstr/>
  </property>
  <property fmtid="{D5CDD505-2E9C-101B-9397-08002B2CF9AE}" pid="6" name="TfClassification">
    <vt:lpwstr>16;#Analysis and Contracting|f8978233-d840-4582-836a-26dd0dc426dc</vt:lpwstr>
  </property>
  <property fmtid="{D5CDD505-2E9C-101B-9397-08002B2CF9AE}" pid="7" name="TfDocType">
    <vt:lpwstr/>
  </property>
  <property fmtid="{D5CDD505-2E9C-101B-9397-08002B2CF9AE}" pid="8" name="TfProject">
    <vt:lpwstr/>
  </property>
</Properties>
</file>