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532" documentId="8_{5199F4D5-6E61-45B2-BD75-320833B9EBAD}" xr6:coauthVersionLast="47" xr6:coauthVersionMax="47" xr10:uidLastSave="{0BC4C240-44E7-40BD-90B0-7DC8CBDBFB9D}"/>
  <bookViews>
    <workbookView xWindow="28680" yWindow="-120" windowWidth="29040" windowHeight="15840" xr2:uid="{00000000-000D-0000-FFFF-FFFF00000000}"/>
  </bookViews>
  <sheets>
    <sheet name="ENGLISH" sheetId="4" r:id="rId1"/>
    <sheet name="FRANÇAIS" sheetId="2" r:id="rId2"/>
  </sheets>
  <definedNames>
    <definedName name="_xlnm.Print_Area" localSheetId="0">ENGLISH!$A$1:$L$89</definedName>
    <definedName name="_xlnm.Print_Area" localSheetId="1">FRANÇAIS!$A$1:$L$86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2" l="1"/>
  <c r="B90" i="2"/>
  <c r="B97" i="4"/>
  <c r="B95" i="4"/>
  <c r="B93" i="4"/>
  <c r="F92" i="2"/>
  <c r="F90" i="2"/>
  <c r="F97" i="4"/>
  <c r="F95" i="4"/>
  <c r="G95" i="4" s="1"/>
  <c r="F93" i="4"/>
  <c r="G93" i="4" s="1"/>
  <c r="D100" i="4"/>
  <c r="K97" i="4"/>
  <c r="L97" i="4" s="1"/>
  <c r="M97" i="4" s="1"/>
  <c r="I97" i="4"/>
  <c r="J97" i="4" s="1"/>
  <c r="H97" i="4"/>
  <c r="G97" i="4"/>
  <c r="E97" i="4"/>
  <c r="C97" i="4"/>
  <c r="D97" i="4" s="1"/>
  <c r="L95" i="4"/>
  <c r="M95" i="4" s="1"/>
  <c r="K95" i="4"/>
  <c r="J95" i="4"/>
  <c r="I95" i="4"/>
  <c r="H95" i="4"/>
  <c r="E95" i="4"/>
  <c r="C95" i="4"/>
  <c r="D95" i="4" s="1"/>
  <c r="K93" i="4"/>
  <c r="L93" i="4" s="1"/>
  <c r="M93" i="4" s="1"/>
  <c r="I93" i="4"/>
  <c r="J93" i="4" s="1"/>
  <c r="H93" i="4"/>
  <c r="E93" i="4"/>
  <c r="C93" i="4"/>
  <c r="D93" i="4" s="1"/>
  <c r="K90" i="4"/>
  <c r="J87" i="4"/>
  <c r="G87" i="4"/>
  <c r="E87" i="4"/>
  <c r="H87" i="4" s="1"/>
  <c r="D87" i="4"/>
  <c r="J85" i="4"/>
  <c r="G85" i="4"/>
  <c r="E85" i="4"/>
  <c r="H85" i="4" s="1"/>
  <c r="D85" i="4"/>
  <c r="E84" i="4"/>
  <c r="H84" i="4" s="1"/>
  <c r="D84" i="4"/>
  <c r="E83" i="4"/>
  <c r="J83" i="4" s="1"/>
  <c r="D83" i="4"/>
  <c r="H82" i="4"/>
  <c r="E82" i="4"/>
  <c r="J82" i="4" s="1"/>
  <c r="D82" i="4"/>
  <c r="D81" i="4"/>
  <c r="E81" i="4" s="1"/>
  <c r="D80" i="4"/>
  <c r="E80" i="4" s="1"/>
  <c r="D79" i="4"/>
  <c r="E79" i="4" s="1"/>
  <c r="J77" i="4"/>
  <c r="G77" i="4"/>
  <c r="E77" i="4"/>
  <c r="H77" i="4" s="1"/>
  <c r="D77" i="4"/>
  <c r="J75" i="4"/>
  <c r="G75" i="4"/>
  <c r="E75" i="4"/>
  <c r="H75" i="4" s="1"/>
  <c r="D75" i="4"/>
  <c r="E74" i="4"/>
  <c r="H74" i="4" s="1"/>
  <c r="D74" i="4"/>
  <c r="J72" i="4"/>
  <c r="I72" i="4"/>
  <c r="G72" i="4"/>
  <c r="E72" i="4"/>
  <c r="H72" i="4" s="1"/>
  <c r="D72" i="4"/>
  <c r="D71" i="4"/>
  <c r="E71" i="4" s="1"/>
  <c r="H70" i="4"/>
  <c r="E70" i="4"/>
  <c r="J70" i="4" s="1"/>
  <c r="D70" i="4"/>
  <c r="H64" i="4"/>
  <c r="D64" i="4"/>
  <c r="B64" i="4"/>
  <c r="H62" i="4"/>
  <c r="G45" i="4" s="1"/>
  <c r="D62" i="4"/>
  <c r="B62" i="4"/>
  <c r="H60" i="4"/>
  <c r="D60" i="4"/>
  <c r="B60" i="4"/>
  <c r="H58" i="4"/>
  <c r="G43" i="4" s="1"/>
  <c r="D58" i="4"/>
  <c r="B58" i="4"/>
  <c r="H56" i="4"/>
  <c r="D56" i="4"/>
  <c r="B56" i="4"/>
  <c r="K54" i="4"/>
  <c r="H54" i="4"/>
  <c r="F54" i="4"/>
  <c r="D54" i="4"/>
  <c r="B54" i="4"/>
  <c r="F48" i="4"/>
  <c r="C48" i="4"/>
  <c r="E48" i="4" s="1"/>
  <c r="B48" i="4"/>
  <c r="A48" i="4"/>
  <c r="R46" i="4"/>
  <c r="Q46" i="4"/>
  <c r="P46" i="4"/>
  <c r="K46" i="4"/>
  <c r="G46" i="4"/>
  <c r="F46" i="4"/>
  <c r="B46" i="4"/>
  <c r="R45" i="4"/>
  <c r="Q45" i="4"/>
  <c r="P45" i="4"/>
  <c r="K45" i="4"/>
  <c r="J45" i="4"/>
  <c r="F45" i="4"/>
  <c r="B45" i="4"/>
  <c r="R44" i="4"/>
  <c r="Q44" i="4"/>
  <c r="P44" i="4"/>
  <c r="K44" i="4"/>
  <c r="I44" i="4"/>
  <c r="G44" i="4"/>
  <c r="F44" i="4"/>
  <c r="B44" i="4"/>
  <c r="R43" i="4"/>
  <c r="Q43" i="4"/>
  <c r="P43" i="4"/>
  <c r="K43" i="4"/>
  <c r="I43" i="4"/>
  <c r="H43" i="4"/>
  <c r="F43" i="4"/>
  <c r="B43" i="4"/>
  <c r="S42" i="4"/>
  <c r="R42" i="4"/>
  <c r="S43" i="4" s="1"/>
  <c r="Q42" i="4"/>
  <c r="P42" i="4"/>
  <c r="K42" i="4"/>
  <c r="G42" i="4"/>
  <c r="F42" i="4"/>
  <c r="B42" i="4"/>
  <c r="R41" i="4"/>
  <c r="S44" i="4" s="1"/>
  <c r="Q41" i="4"/>
  <c r="P41" i="4"/>
  <c r="K41" i="4"/>
  <c r="K47" i="4" s="1"/>
  <c r="G41" i="4"/>
  <c r="G47" i="4" s="1"/>
  <c r="F41" i="4"/>
  <c r="B41" i="4"/>
  <c r="F40" i="4"/>
  <c r="E40" i="4"/>
  <c r="G30" i="4"/>
  <c r="J43" i="4" s="1"/>
  <c r="F30" i="4"/>
  <c r="I42" i="4" s="1"/>
  <c r="E30" i="4"/>
  <c r="H42" i="4" s="1"/>
  <c r="D30" i="4"/>
  <c r="I29" i="4"/>
  <c r="I28" i="4"/>
  <c r="I27" i="4"/>
  <c r="I26" i="4"/>
  <c r="I25" i="4"/>
  <c r="I24" i="4"/>
  <c r="C23" i="4"/>
  <c r="C30" i="4" s="1"/>
  <c r="E47" i="4" s="1"/>
  <c r="C40" i="4" s="1"/>
  <c r="E15" i="4"/>
  <c r="A13" i="4"/>
  <c r="L12" i="4"/>
  <c r="M12" i="4" s="1"/>
  <c r="F9" i="4"/>
  <c r="L8" i="4"/>
  <c r="L11" i="4" s="1"/>
  <c r="M11" i="4" s="1"/>
  <c r="L7" i="4"/>
  <c r="F47" i="4" l="1"/>
  <c r="F49" i="4" s="1"/>
  <c r="J71" i="4"/>
  <c r="J47" i="4" s="1"/>
  <c r="I71" i="4"/>
  <c r="H71" i="4"/>
  <c r="H47" i="4" s="1"/>
  <c r="L47" i="4" s="1"/>
  <c r="G71" i="4"/>
  <c r="J79" i="4"/>
  <c r="H79" i="4"/>
  <c r="G79" i="4"/>
  <c r="J80" i="4"/>
  <c r="H80" i="4"/>
  <c r="G80" i="4"/>
  <c r="M42" i="4"/>
  <c r="K48" i="4"/>
  <c r="J48" i="4"/>
  <c r="G81" i="4"/>
  <c r="J81" i="4"/>
  <c r="H81" i="4"/>
  <c r="E49" i="4"/>
  <c r="E46" i="4"/>
  <c r="E41" i="4"/>
  <c r="C47" i="4"/>
  <c r="E42" i="4"/>
  <c r="E43" i="4"/>
  <c r="E45" i="4"/>
  <c r="E44" i="4"/>
  <c r="D40" i="4"/>
  <c r="M43" i="4"/>
  <c r="F56" i="4"/>
  <c r="J74" i="4"/>
  <c r="G83" i="4"/>
  <c r="F60" i="4"/>
  <c r="H46" i="4"/>
  <c r="M46" i="4" s="1"/>
  <c r="S46" i="4"/>
  <c r="F64" i="4" s="1"/>
  <c r="H83" i="4"/>
  <c r="H45" i="4"/>
  <c r="M45" i="4" s="1"/>
  <c r="S45" i="4"/>
  <c r="F62" i="4" s="1"/>
  <c r="I46" i="4"/>
  <c r="J42" i="4"/>
  <c r="J84" i="4"/>
  <c r="M41" i="4"/>
  <c r="H44" i="4"/>
  <c r="M44" i="4" s="1"/>
  <c r="I45" i="4"/>
  <c r="J46" i="4"/>
  <c r="F58" i="4"/>
  <c r="G70" i="4"/>
  <c r="G82" i="4"/>
  <c r="I70" i="4"/>
  <c r="I47" i="4" s="1"/>
  <c r="G74" i="4"/>
  <c r="G84" i="4"/>
  <c r="J44" i="4"/>
  <c r="E47" i="2"/>
  <c r="I47" i="2"/>
  <c r="H47" i="2"/>
  <c r="M47" i="4" l="1"/>
  <c r="C44" i="4"/>
  <c r="D44" i="4" s="1"/>
  <c r="C45" i="4"/>
  <c r="D45" i="4" s="1"/>
  <c r="C41" i="4"/>
  <c r="D41" i="4" s="1"/>
  <c r="C49" i="4"/>
  <c r="C46" i="4"/>
  <c r="D46" i="4" s="1"/>
  <c r="C42" i="4"/>
  <c r="D42" i="4" s="1"/>
  <c r="C43" i="4"/>
  <c r="D43" i="4" s="1"/>
  <c r="D47" i="4"/>
  <c r="D49" i="4" s="1"/>
  <c r="K41" i="2"/>
  <c r="K42" i="2"/>
  <c r="K43" i="2"/>
  <c r="K44" i="2"/>
  <c r="K45" i="2"/>
  <c r="K46" i="2"/>
  <c r="C48" i="2"/>
  <c r="E40" i="2"/>
  <c r="H90" i="2"/>
  <c r="H92" i="2"/>
  <c r="K47" i="2" l="1"/>
  <c r="E92" i="2"/>
  <c r="K92" i="2" l="1"/>
  <c r="K90" i="2"/>
  <c r="D81" i="2" l="1"/>
  <c r="E81" i="2" s="1"/>
  <c r="D75" i="2"/>
  <c r="E75" i="2" s="1"/>
  <c r="D82" i="2" l="1"/>
  <c r="E82" i="2" s="1"/>
  <c r="D76" i="2"/>
  <c r="E76" i="2" s="1"/>
  <c r="D72" i="2"/>
  <c r="E72" i="2" s="1"/>
  <c r="D84" i="2"/>
  <c r="E84" i="2" s="1"/>
  <c r="D80" i="2"/>
  <c r="E80" i="2" s="1"/>
  <c r="D78" i="2"/>
  <c r="E78" i="2" s="1"/>
  <c r="D71" i="2"/>
  <c r="E71" i="2" s="1"/>
  <c r="D74" i="2"/>
  <c r="E74" i="2" s="1"/>
  <c r="D70" i="2"/>
  <c r="E70" i="2" s="1"/>
  <c r="A48" i="2"/>
  <c r="K87" i="2"/>
  <c r="L92" i="2"/>
  <c r="C23" i="2" l="1"/>
  <c r="R46" i="2"/>
  <c r="Q46" i="2"/>
  <c r="R45" i="2"/>
  <c r="Q45" i="2"/>
  <c r="R44" i="2"/>
  <c r="Q44" i="2"/>
  <c r="R43" i="2"/>
  <c r="Q43" i="2"/>
  <c r="R42" i="2"/>
  <c r="Q42" i="2"/>
  <c r="R41" i="2"/>
  <c r="S46" i="2" s="1"/>
  <c r="Q41" i="2"/>
  <c r="H64" i="2"/>
  <c r="D64" i="2"/>
  <c r="B64" i="2"/>
  <c r="H62" i="2"/>
  <c r="D62" i="2"/>
  <c r="B62" i="2"/>
  <c r="H60" i="2"/>
  <c r="D60" i="2"/>
  <c r="B60" i="2"/>
  <c r="H58" i="2"/>
  <c r="D58" i="2"/>
  <c r="B58" i="2"/>
  <c r="H56" i="2"/>
  <c r="D56" i="2"/>
  <c r="B56" i="2"/>
  <c r="K54" i="2"/>
  <c r="F54" i="2"/>
  <c r="D54" i="2"/>
  <c r="B54" i="2"/>
  <c r="P41" i="2"/>
  <c r="H54" i="2" l="1"/>
  <c r="S44" i="2"/>
  <c r="F60" i="2" s="1"/>
  <c r="S42" i="2"/>
  <c r="F56" i="2" s="1"/>
  <c r="S45" i="2"/>
  <c r="F62" i="2" s="1"/>
  <c r="S43" i="2"/>
  <c r="F58" i="2" s="1"/>
  <c r="F64" i="2"/>
  <c r="E90" i="2" l="1"/>
  <c r="G92" i="2" l="1"/>
  <c r="F40" i="2" l="1"/>
  <c r="B48" i="2"/>
  <c r="G30" i="2" l="1"/>
  <c r="L12" i="2" l="1"/>
  <c r="M12" i="2" s="1"/>
  <c r="I26" i="2" l="1"/>
  <c r="I27" i="2"/>
  <c r="I28" i="2"/>
  <c r="I29" i="2"/>
  <c r="F30" i="2" l="1"/>
  <c r="F9" i="2" l="1"/>
  <c r="D30" i="2"/>
  <c r="L7" i="2"/>
  <c r="P44" i="2"/>
  <c r="E30" i="2"/>
  <c r="P46" i="2"/>
  <c r="P45" i="2"/>
  <c r="I24" i="2"/>
  <c r="I25" i="2"/>
  <c r="B41" i="2"/>
  <c r="B42" i="2"/>
  <c r="B43" i="2"/>
  <c r="B44" i="2"/>
  <c r="B45" i="2"/>
  <c r="B46" i="2"/>
  <c r="G78" i="2" l="1"/>
  <c r="L8" i="2"/>
  <c r="H78" i="2"/>
  <c r="G41" i="2"/>
  <c r="G44" i="2"/>
  <c r="G43" i="2"/>
  <c r="M41" i="2" l="1"/>
  <c r="L11" i="2"/>
  <c r="M11" i="2" s="1"/>
  <c r="G45" i="2"/>
  <c r="G46" i="2"/>
  <c r="P42" i="2"/>
  <c r="P43" i="2"/>
  <c r="G42" i="2" l="1"/>
  <c r="G47" i="2" s="1"/>
  <c r="J48" i="2" l="1"/>
  <c r="H75" i="2" l="1"/>
  <c r="H81" i="2"/>
  <c r="H80" i="2"/>
  <c r="H84" i="2"/>
  <c r="H76" i="2"/>
  <c r="H82" i="2"/>
  <c r="H72" i="2"/>
  <c r="H74" i="2"/>
  <c r="H71" i="2"/>
  <c r="H70" i="2"/>
  <c r="K48" i="2" l="1"/>
  <c r="I72" i="2" l="1"/>
  <c r="I71" i="2"/>
  <c r="J84" i="2"/>
  <c r="J78" i="2"/>
  <c r="J76" i="2"/>
  <c r="H42" i="2"/>
  <c r="I70" i="2"/>
  <c r="H44" i="2"/>
  <c r="H45" i="2"/>
  <c r="H43" i="2"/>
  <c r="H46" i="2"/>
  <c r="J82" i="2" l="1"/>
  <c r="J80" i="2"/>
  <c r="J81" i="2"/>
  <c r="J71" i="2"/>
  <c r="J72" i="2"/>
  <c r="I43" i="2"/>
  <c r="J70" i="2"/>
  <c r="I44" i="2"/>
  <c r="J75" i="2"/>
  <c r="J74" i="2"/>
  <c r="I42" i="2"/>
  <c r="I45" i="2"/>
  <c r="I46" i="2"/>
  <c r="J47" i="2" l="1"/>
  <c r="L47" i="2" s="1"/>
  <c r="G80" i="2"/>
  <c r="J69" i="2" l="1"/>
  <c r="G72" i="2"/>
  <c r="G84" i="2"/>
  <c r="G71" i="2"/>
  <c r="G81" i="2"/>
  <c r="G82" i="2"/>
  <c r="G76" i="2"/>
  <c r="G75" i="2"/>
  <c r="J42" i="2"/>
  <c r="G74" i="2"/>
  <c r="G70" i="2"/>
  <c r="J43" i="2"/>
  <c r="M43" i="2" s="1"/>
  <c r="J46" i="2"/>
  <c r="M46" i="2" s="1"/>
  <c r="J44" i="2"/>
  <c r="M44" i="2" s="1"/>
  <c r="J45" i="2"/>
  <c r="M45" i="2" s="1"/>
  <c r="M42" i="2" l="1"/>
  <c r="M47" i="2" s="1"/>
  <c r="C30" i="2" l="1"/>
  <c r="E15" i="2" l="1"/>
  <c r="G90" i="2"/>
  <c r="L90" i="2" l="1"/>
  <c r="M90" i="2" s="1"/>
  <c r="I90" i="2"/>
  <c r="J90" i="2" s="1"/>
  <c r="M92" i="2"/>
  <c r="C90" i="2" l="1"/>
  <c r="D90" i="2" s="1"/>
  <c r="F48" i="2" l="1"/>
  <c r="E48" i="2"/>
  <c r="I92" i="2" l="1"/>
  <c r="J92" i="2" s="1"/>
  <c r="C92" i="2" l="1"/>
  <c r="D92" i="2" s="1"/>
  <c r="E43" i="2" l="1"/>
  <c r="C40" i="2"/>
  <c r="D40" i="2" s="1"/>
  <c r="E49" i="2"/>
  <c r="E44" i="2"/>
  <c r="E45" i="2"/>
  <c r="C47" i="2"/>
  <c r="E42" i="2"/>
  <c r="E46" i="2"/>
  <c r="E41" i="2"/>
  <c r="F45" i="2" l="1"/>
  <c r="F42" i="2"/>
  <c r="C43" i="2"/>
  <c r="D43" i="2" s="1"/>
  <c r="C41" i="2"/>
  <c r="D41" i="2" s="1"/>
  <c r="C42" i="2"/>
  <c r="D42" i="2" s="1"/>
  <c r="C49" i="2"/>
  <c r="C45" i="2"/>
  <c r="D45" i="2" s="1"/>
  <c r="C44" i="2"/>
  <c r="D44" i="2" s="1"/>
  <c r="C46" i="2"/>
  <c r="D46" i="2" s="1"/>
  <c r="F44" i="2"/>
  <c r="D47" i="2"/>
  <c r="D49" i="2" s="1"/>
  <c r="F41" i="2"/>
  <c r="F46" i="2"/>
  <c r="F43" i="2"/>
  <c r="F47" i="2" l="1"/>
  <c r="F4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7" authorId="0" shapeId="0" xr:uid="{31CB35ED-4F93-45A5-8619-37A0357D48DA}">
      <text>
        <r>
          <rPr>
            <b/>
            <sz val="9"/>
            <color indexed="81"/>
            <rFont val="Tahoma"/>
            <family val="2"/>
          </rPr>
          <t xml:space="preserve">Must be Canadian eligible costs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5880DE68-23AE-4830-A900-344BF5075606}">
      <text>
        <r>
          <rPr>
            <sz val="9"/>
            <color indexed="81"/>
            <rFont val="Tahoma"/>
            <family val="2"/>
          </rPr>
          <t xml:space="preserve">Knowledge Network, Télé-Québec, TFO and TVO
</t>
        </r>
      </text>
    </comment>
    <comment ref="E12" authorId="0" shapeId="0" xr:uid="{1CF6BA9B-213E-4D5C-BCEB-38F8F22104A9}">
      <text>
        <r>
          <rPr>
            <b/>
            <sz val="9"/>
            <color indexed="81"/>
            <rFont val="Tahoma"/>
            <family val="2"/>
          </rPr>
          <t>If Yes, enter the Incentive amount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7" authorId="0" shapeId="0" xr:uid="{541D1876-5A87-41EC-932E-20E7D63A361D}">
      <text>
        <r>
          <rPr>
            <b/>
            <sz val="9"/>
            <color indexed="81"/>
            <rFont val="Tahoma"/>
            <family val="2"/>
          </rPr>
          <t>Doit correspondre aux dépenses admissibles canadiennes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1767CBD1-3518-46E1-98FC-E39D7082854B}">
      <text>
        <r>
          <rPr>
            <sz val="9"/>
            <color indexed="81"/>
            <rFont val="Tahoma"/>
            <family val="2"/>
          </rPr>
          <t>Knowledge Network, Télé-Québec, TFO et TVO</t>
        </r>
      </text>
    </comment>
    <comment ref="E12" authorId="0" shapeId="0" xr:uid="{2690BB2B-6CC4-4C34-A86C-0DEEF9CF1790}">
      <text>
        <r>
          <rPr>
            <b/>
            <sz val="9"/>
            <color indexed="81"/>
            <rFont val="Tahoma"/>
            <family val="2"/>
          </rPr>
          <t>Si oui, veuillez entrer le montant de la mesure incitative dans cette cellule</t>
        </r>
      </text>
    </comment>
  </commentList>
</comments>
</file>

<file path=xl/sharedStrings.xml><?xml version="1.0" encoding="utf-8"?>
<sst xmlns="http://schemas.openxmlformats.org/spreadsheetml/2006/main" count="388" uniqueCount="247">
  <si>
    <t>Project
Name:</t>
  </si>
  <si>
    <t>Project No:</t>
  </si>
  <si>
    <t>Budget/Final Cost</t>
  </si>
  <si>
    <t>Number of Episodes</t>
  </si>
  <si>
    <t>Episode Length 
(in Min.)</t>
  </si>
  <si>
    <t>Total Hours</t>
  </si>
  <si>
    <t xml:space="preserve">Budget/Hour </t>
  </si>
  <si>
    <t>Are all Broadcasters Educational?</t>
  </si>
  <si>
    <t>No</t>
  </si>
  <si>
    <t>Is there an Incentive Program?</t>
  </si>
  <si>
    <t>Yes</t>
  </si>
  <si>
    <t>Carbon calculator required?</t>
  </si>
  <si>
    <t>Described video required?</t>
  </si>
  <si>
    <t>Budget Category (Genre)</t>
  </si>
  <si>
    <t>(1): Enter Canadian broadcasters and licences first and in order of start of term dates</t>
  </si>
  <si>
    <t>(2): If the project has both English and French licences, do not complete the "Exclusivity" column</t>
  </si>
  <si>
    <t>For the Canadian Broadcaster(s)</t>
  </si>
  <si>
    <t>International Entity
(Intl. Right)  Children &amp; Youth only</t>
  </si>
  <si>
    <r>
      <t xml:space="preserve">Start of Term Date </t>
    </r>
    <r>
      <rPr>
        <b/>
        <sz val="10"/>
        <color rgb="FF1F497D"/>
        <rFont val="Calibri"/>
        <family val="2"/>
        <scheme val="minor"/>
      </rPr>
      <t>(1)</t>
    </r>
  </si>
  <si>
    <t>End of Term Date</t>
  </si>
  <si>
    <t>Term Length
(in Months)</t>
  </si>
  <si>
    <t>Language</t>
  </si>
  <si>
    <t># 1</t>
  </si>
  <si>
    <t># 2</t>
  </si>
  <si>
    <t># 3</t>
  </si>
  <si>
    <t># 4</t>
  </si>
  <si>
    <t># 5</t>
  </si>
  <si>
    <t># 6</t>
  </si>
  <si>
    <t>Notes:</t>
  </si>
  <si>
    <t>Maximum Terms, Broadcaster Envelope Program Contributions, Eligible Licence Fees and Minimum Market Contribution (MMC):</t>
  </si>
  <si>
    <t>MMC</t>
  </si>
  <si>
    <t>Maximum Licence Fee  Top-Up</t>
  </si>
  <si>
    <t xml:space="preserve">CMF Contribution </t>
  </si>
  <si>
    <t>% CMF Contribution of Budget</t>
  </si>
  <si>
    <t>Total Eligible Triggering Commitment</t>
  </si>
  <si>
    <t>N/A</t>
  </si>
  <si>
    <t xml:space="preserve"> </t>
  </si>
  <si>
    <t>Licence Term Calculation:</t>
  </si>
  <si>
    <t>÷</t>
  </si>
  <si>
    <t>x</t>
  </si>
  <si>
    <t>=</t>
  </si>
  <si>
    <t>Last Day of Maximum Term:</t>
  </si>
  <si>
    <t>Total Licence</t>
  </si>
  <si>
    <t>Term Months</t>
  </si>
  <si>
    <t>Maximum Term</t>
  </si>
  <si>
    <t>Pro-Rated Amount</t>
  </si>
  <si>
    <t>Eligible Triggering Commitment Threshold:</t>
  </si>
  <si>
    <t>Budget Category</t>
  </si>
  <si>
    <t>Formula</t>
  </si>
  <si>
    <t>Calculated Amount</t>
  </si>
  <si>
    <t xml:space="preserve">Threshold Respected? </t>
  </si>
  <si>
    <t>Over OR
 (Shortfall)</t>
  </si>
  <si>
    <t xml:space="preserve">     * CHILDREN &amp; YOUTH *</t>
  </si>
  <si>
    <t>100% Animated Eligible Projects</t>
  </si>
  <si>
    <t>Theatrically-released Animated Feature Films</t>
  </si>
  <si>
    <t xml:space="preserve">     * DOCUMENTARY *</t>
  </si>
  <si>
    <t xml:space="preserve">     * DRAMA *</t>
  </si>
  <si>
    <t>All projects less than $800,000/hour</t>
  </si>
  <si>
    <t>Series or one-off equal/more than $800,000/hour</t>
  </si>
  <si>
    <t>Theatrically-released Feature Films</t>
  </si>
  <si>
    <t>1/2-hour pilot greater than $700,000 per 1/2hour</t>
  </si>
  <si>
    <t>1-hour pilot greater than $1,750,000/hour</t>
  </si>
  <si>
    <t>English Regional Production Bonus</t>
  </si>
  <si>
    <t xml:space="preserve">     * VAPA *</t>
  </si>
  <si>
    <t>Anglophone Minority Incentive</t>
  </si>
  <si>
    <t>Maximum CMF Contribution:</t>
  </si>
  <si>
    <t xml:space="preserve">CMF Contribution    </t>
  </si>
  <si>
    <t>Broadcaster Envelope Program</t>
  </si>
  <si>
    <t>CMF Maximum</t>
  </si>
  <si>
    <t>Max. Contribution Respected?</t>
  </si>
  <si>
    <t>Over</t>
  </si>
  <si>
    <t xml:space="preserve">BEP Maximum </t>
  </si>
  <si>
    <t xml:space="preserve">Incentive Maximum </t>
  </si>
  <si>
    <r>
      <rPr>
        <b/>
        <sz val="12"/>
        <rFont val="Calibri"/>
        <family val="2"/>
        <scheme val="minor"/>
      </rPr>
      <t>2025-2026 - Feuille de calcul des exigences seuil pour les déclencheurs admissibles, de la contribution et durée maximale</t>
    </r>
    <r>
      <rPr>
        <b/>
        <sz val="14"/>
        <rFont val="Calibri"/>
        <family val="2"/>
        <scheme val="minor"/>
      </rPr>
      <t xml:space="preserve">
• Programme destiné aux communautés afro-descendantes et racisées (PCAR) • 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* see different sheet at the bottom for an English project</t>
    </r>
  </si>
  <si>
    <t>Titre du projet :</t>
  </si>
  <si>
    <t>No du projet :</t>
  </si>
  <si>
    <t>Date :</t>
  </si>
  <si>
    <t>Complétez toutes les cellules vertes</t>
  </si>
  <si>
    <t>Catégorie de devis :</t>
  </si>
  <si>
    <t>Devis/Coût final de production</t>
  </si>
  <si>
    <t>Nombre 
d'épisodes</t>
  </si>
  <si>
    <t>Durée des épisodes
(en min.)</t>
  </si>
  <si>
    <t>Nombre total d'heures</t>
  </si>
  <si>
    <t>Devis/Heure</t>
  </si>
  <si>
    <t>Les diffuseurs sont-ils tous éducatifs ?</t>
  </si>
  <si>
    <t>Non</t>
  </si>
  <si>
    <t>Y a-t-il une mesure incitative ?</t>
  </si>
  <si>
    <t>Oui</t>
  </si>
  <si>
    <t>Calculateur de carbone requis ?</t>
  </si>
  <si>
    <t>Vidéodescription requise?</t>
  </si>
  <si>
    <t>Y-a-t-il une allocation du Programme des enveloppes des télédiffuseurs ?</t>
  </si>
  <si>
    <t>Contribution du Programme des enveloppes des télédiffuseurs</t>
  </si>
  <si>
    <t>Contribution du PCAR</t>
  </si>
  <si>
    <t>(1) : Entrez les licences en premier et par ordre croissant de début des droits</t>
  </si>
  <si>
    <t>(2) : Lorsque le projet cumule des licences en français ET en anglais, ne pas compléter la colonne "Exclusivité"</t>
  </si>
  <si>
    <t>Pour chaque télédiffuseur canadien</t>
  </si>
  <si>
    <r>
      <t xml:space="preserve">Contribution FMC -
</t>
    </r>
    <r>
      <rPr>
        <b/>
        <sz val="10"/>
        <color rgb="FF1F497D"/>
        <rFont val="Calibri"/>
        <family val="2"/>
        <scheme val="minor"/>
      </rPr>
      <t>(Entrez les env. des télédiffuseurs)</t>
    </r>
  </si>
  <si>
    <t xml:space="preserve">Avance de distribution
(droits int.)
</t>
  </si>
  <si>
    <t>Entité internationale
(droits int.)
Enfants et jeunes seulement</t>
  </si>
  <si>
    <r>
      <t xml:space="preserve">Date de début de la période </t>
    </r>
    <r>
      <rPr>
        <b/>
        <sz val="10"/>
        <color rgb="FF1F497D"/>
        <rFont val="Calibri"/>
        <family val="2"/>
        <scheme val="minor"/>
      </rPr>
      <t>(1)</t>
    </r>
  </si>
  <si>
    <t>Date de fin de la période</t>
  </si>
  <si>
    <t>Durée de la période (en mois)</t>
  </si>
  <si>
    <r>
      <rPr>
        <b/>
        <sz val="10"/>
        <color rgb="FF000000"/>
        <rFont val="Calibri"/>
        <family val="2"/>
      </rPr>
      <t xml:space="preserve">Exclusivité 
(en mois) </t>
    </r>
    <r>
      <rPr>
        <b/>
        <sz val="10"/>
        <color rgb="FF1F497D"/>
        <rFont val="Calibri"/>
        <family val="2"/>
      </rPr>
      <t>(2)</t>
    </r>
  </si>
  <si>
    <t>Langue</t>
  </si>
  <si>
    <t>PCAR $</t>
  </si>
  <si>
    <t>n° 1</t>
  </si>
  <si>
    <t>n° 2</t>
  </si>
  <si>
    <t>n° 3</t>
  </si>
  <si>
    <t>n° 4</t>
  </si>
  <si>
    <t>n° 5</t>
  </si>
  <si>
    <t>n° 6</t>
  </si>
  <si>
    <t>Totaux :</t>
  </si>
  <si>
    <t>Remarques :</t>
  </si>
  <si>
    <t>Durées maximales, contributions du FMC, Droits de diffusion admissibles et Contribution minimale du marché (« CMM ») :</t>
  </si>
  <si>
    <t xml:space="preserve">CMM </t>
  </si>
  <si>
    <t>Montant admissible du supplément de droits de diffusion</t>
  </si>
  <si>
    <t xml:space="preserve">Montant admissible de la participation au capital </t>
  </si>
  <si>
    <t>Contribution  FMC admissible</t>
  </si>
  <si>
    <t xml:space="preserve"> % Contribution du FMC sur le devis</t>
  </si>
  <si>
    <t>Droits de diffusion admissibles (DDA)
canadiens</t>
  </si>
  <si>
    <r>
      <rPr>
        <b/>
        <sz val="10"/>
        <color rgb="FF000000"/>
        <rFont val="Calibri"/>
        <family val="2"/>
      </rPr>
      <t xml:space="preserve">Distributeur </t>
    </r>
    <r>
      <rPr>
        <b/>
        <sz val="10"/>
        <color rgb="FF1F497D"/>
        <rFont val="Calibri"/>
        <family val="2"/>
      </rPr>
      <t>(3)</t>
    </r>
  </si>
  <si>
    <r>
      <rPr>
        <b/>
        <sz val="10"/>
        <color rgb="FF000000"/>
        <rFont val="Calibri"/>
        <family val="2"/>
      </rPr>
      <t xml:space="preserve">Entité internationale
Pour Enfants et jeunes </t>
    </r>
    <r>
      <rPr>
        <b/>
        <sz val="10"/>
        <color rgb="FF1F497D"/>
        <rFont val="Calibri"/>
        <family val="2"/>
      </rPr>
      <t>(3)</t>
    </r>
  </si>
  <si>
    <t xml:space="preserve"> % sur le devis des
DDA &amp;
CMM</t>
  </si>
  <si>
    <t>Total pour les déclencheurs admissibles</t>
  </si>
  <si>
    <t>Surplus
Montants non déclencheurs</t>
  </si>
  <si>
    <t>Durée ajustée</t>
  </si>
  <si>
    <t>Durée d'exclusivité  ajustée</t>
  </si>
  <si>
    <t>Date révisée du début de la durée</t>
  </si>
  <si>
    <t>S/O</t>
  </si>
  <si>
    <t>Sous-total :</t>
  </si>
  <si>
    <t>Total :</t>
  </si>
  <si>
    <t>(3) : Seul le montant requis pour atteindre l'exigence seuil apparaîtra dans les colonnes des CMM (H, I ou J )</t>
  </si>
  <si>
    <t xml:space="preserve">Calcul de la durée des droits de diffusion : </t>
  </si>
  <si>
    <t>Dernier jour de la durée maximale</t>
  </si>
  <si>
    <t>Montant total des droits de diffusion</t>
  </si>
  <si>
    <t>Durée 
(en mois)</t>
  </si>
  <si>
    <t>Durée maximale</t>
  </si>
  <si>
    <t>Montant proportionnel</t>
  </si>
  <si>
    <t>Exigence seuil en matière de droits de diffusion :</t>
  </si>
  <si>
    <t>CMM permise</t>
  </si>
  <si>
    <t>Catégorie de devis</t>
  </si>
  <si>
    <t>Formule</t>
  </si>
  <si>
    <t>Calcul du montant</t>
  </si>
  <si>
    <t xml:space="preserve">Exigence seuil respectée ? </t>
  </si>
  <si>
    <t>Montant excédentaire OU (insuffisant)</t>
  </si>
  <si>
    <t>* Émissions pour enfants et jeunes *</t>
  </si>
  <si>
    <t>Tournage en direct</t>
  </si>
  <si>
    <t>Animation (excl. longs métrages d'animation lancés en salle)</t>
  </si>
  <si>
    <t>Longs métrages d’animation lancés en salle</t>
  </si>
  <si>
    <t>Moindre des 2:
5% ou 120 000 $</t>
  </si>
  <si>
    <t>* Documentaires *</t>
  </si>
  <si>
    <r>
      <t>Devis jusqu'à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</si>
  <si>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r>
      <t>Devis supérieur à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</si>
  <si>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t>Moindre des 2: 
10% ou 
60 000$/heure</t>
  </si>
  <si>
    <t>Long métrage documentaire</t>
  </si>
  <si>
    <t>Moindre des 2:
10% ou 60 000$</t>
  </si>
  <si>
    <t>* Variétés et Arts de la scène *</t>
  </si>
  <si>
    <t>Toutes les émisisons</t>
  </si>
  <si>
    <t>* Dramatiques *</t>
  </si>
  <si>
    <t>Devis égal ou supérieur à 800 000 $/heure</t>
  </si>
  <si>
    <t>Moindre des 2:
10% ou 
195 000 $/heure</t>
  </si>
  <si>
    <t>Mesure incitative pour les projets nordiques</t>
  </si>
  <si>
    <t>Téléfilms</t>
  </si>
  <si>
    <t>Moindre des 2:
10% ou 150 000 $</t>
  </si>
  <si>
    <t>Mesure incitative pour la production régionale de langue française au Québec</t>
  </si>
  <si>
    <t>* Animation *</t>
  </si>
  <si>
    <t>Toutes les émissions excl. les émisisons pour Enfants et jeunes</t>
  </si>
  <si>
    <t>Contributions maximales :</t>
  </si>
  <si>
    <t>Contribution FMC</t>
  </si>
  <si>
    <t>PCAR</t>
  </si>
  <si>
    <t>Programme des enveloppes des télédiffuseurs</t>
  </si>
  <si>
    <t>Maximum
FMC</t>
  </si>
  <si>
    <t>Contribution maximale
respectée ?</t>
  </si>
  <si>
    <t>Montant excédentaire</t>
  </si>
  <si>
    <t xml:space="preserve">Maximum </t>
  </si>
  <si>
    <t>Contribution maximale respectée ?</t>
  </si>
  <si>
    <t xml:space="preserve">Maximum          </t>
  </si>
  <si>
    <t>*Tous les genres sauf dramatiques et animation*</t>
  </si>
  <si>
    <t>60 %
(max 550 000 $) 
(84% si combiné)</t>
  </si>
  <si>
    <t>*Dramatiques et Animation*</t>
  </si>
  <si>
    <t>60 %
(max 750 000 $) 
(84% si combiné)</t>
  </si>
  <si>
    <t>***</t>
  </si>
  <si>
    <t xml:space="preserve">15 % des dépenses admissibles (max. 225 000 $)
</t>
  </si>
  <si>
    <t>30 % des dépenses admissibles (max. 200 000 $)</t>
  </si>
  <si>
    <r>
      <t>Is this application combined with the Broadcaster Envelope Program</t>
    </r>
    <r>
      <rPr>
        <b/>
        <sz val="10"/>
        <rFont val="Calibri"/>
        <family val="2"/>
        <scheme val="minor"/>
      </rPr>
      <t>?</t>
    </r>
  </si>
  <si>
    <r>
      <t>Broadcaster Envelope</t>
    </r>
    <r>
      <rPr>
        <b/>
        <sz val="10"/>
        <rFont val="Calibri"/>
        <family val="2"/>
        <scheme val="minor"/>
      </rPr>
      <t xml:space="preserve"> Program C</t>
    </r>
    <r>
      <rPr>
        <b/>
        <sz val="10"/>
        <color indexed="8"/>
        <rFont val="Calibri"/>
        <family val="2"/>
        <scheme val="minor"/>
      </rPr>
      <t>ontribution</t>
    </r>
  </si>
  <si>
    <t>PBRC Contribution</t>
  </si>
  <si>
    <r>
      <rPr>
        <b/>
        <sz val="12"/>
        <rFont val="Calibri"/>
        <family val="2"/>
        <scheme val="minor"/>
      </rPr>
      <t xml:space="preserve">2025-2026 - Triggering Commitment Thresholds, Maximum Contribution and Term Calculation Sheet </t>
    </r>
    <r>
      <rPr>
        <b/>
        <sz val="1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Program for Black and Racialized Communities (PBRC)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color rgb="FF0070C0"/>
        <rFont val="Calibri"/>
        <family val="2"/>
        <scheme val="minor"/>
      </rPr>
      <t>*voir onglet séparé au bas pour les projets en français</t>
    </r>
  </si>
  <si>
    <t xml:space="preserve">15% of  Eligible Costs (Max $1,000,000) </t>
  </si>
  <si>
    <t xml:space="preserve">30% of  Eligible Costs (Max $200,000) </t>
  </si>
  <si>
    <t>Northen Production Incentive</t>
  </si>
  <si>
    <t>PBRC $</t>
  </si>
  <si>
    <t xml:space="preserve">Télédiffuseur
étranger/
programmé
</t>
  </si>
  <si>
    <r>
      <t xml:space="preserve">Nom du télédiffuseur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000000"/>
        <rFont val="Calibri"/>
        <family val="2"/>
        <scheme val="minor"/>
      </rPr>
      <t xml:space="preserve">
ou Distributeur canadien admissible
ou Entité Internationale admissible
ou télédiffuseur étranger/programmé</t>
    </r>
  </si>
  <si>
    <r>
      <t>Nom du télédiffuseur</t>
    </r>
    <r>
      <rPr>
        <b/>
        <sz val="10"/>
        <color rgb="FF000000"/>
        <rFont val="Calibri"/>
        <family val="2"/>
        <scheme val="minor"/>
      </rPr>
      <t xml:space="preserve">
ou Distributeur canadien admissible
ou Entité Internationale admissible
ou télédiffuseur étranger/programmé</t>
    </r>
  </si>
  <si>
    <r>
      <rPr>
        <b/>
        <sz val="10"/>
        <color rgb="FF000000"/>
        <rFont val="Calibri"/>
        <family val="2"/>
        <scheme val="minor"/>
      </rPr>
      <t xml:space="preserve">Télédiffuseur
étranger/
programmé </t>
    </r>
    <r>
      <rPr>
        <b/>
        <sz val="10"/>
        <color rgb="FF16365C"/>
        <rFont val="Calibri"/>
        <family val="2"/>
        <scheme val="minor"/>
      </rPr>
      <t xml:space="preserve">(3)
</t>
    </r>
  </si>
  <si>
    <r>
      <t xml:space="preserve">CMF  Contribution  </t>
    </r>
    <r>
      <rPr>
        <b/>
        <sz val="10"/>
        <color rgb="FF1F497D"/>
        <rFont val="Calibri"/>
        <family val="2"/>
        <scheme val="minor"/>
      </rPr>
      <t xml:space="preserve">(BEP only) </t>
    </r>
  </si>
  <si>
    <t xml:space="preserve">Distribution Advance 
(Intl. Rights)
</t>
  </si>
  <si>
    <r>
      <t xml:space="preserve">Exclusivity
(in Months) </t>
    </r>
    <r>
      <rPr>
        <b/>
        <sz val="10"/>
        <color rgb="FF1F497D"/>
        <rFont val="Calibri"/>
        <family val="2"/>
        <scheme val="minor"/>
      </rPr>
      <t xml:space="preserve"> (2)</t>
    </r>
  </si>
  <si>
    <r>
      <t>Broadcaster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
Or foreign/scheduled broadcaster</t>
    </r>
  </si>
  <si>
    <t>Maximum  Investment</t>
  </si>
  <si>
    <t>Canadian
Eligible Licence Fee
(ELF)</t>
  </si>
  <si>
    <r>
      <t xml:space="preserve">Distributor </t>
    </r>
    <r>
      <rPr>
        <b/>
        <sz val="10"/>
        <color rgb="FF1F497D"/>
        <rFont val="Calibri"/>
        <family val="2"/>
        <scheme val="minor"/>
      </rPr>
      <t>(3)</t>
    </r>
  </si>
  <si>
    <r>
      <t xml:space="preserve">Intl. Entity
Children &amp; Youth only </t>
    </r>
    <r>
      <rPr>
        <b/>
        <sz val="10"/>
        <color rgb="FF1F497D"/>
        <rFont val="Calibri"/>
        <family val="2"/>
        <scheme val="minor"/>
      </rPr>
      <t>(3)</t>
    </r>
  </si>
  <si>
    <t>ELF &amp; MMC
% of Budget</t>
  </si>
  <si>
    <t>(3): Only the portion required to meet Threshold will appear in the MMC columns (H, I or J)</t>
  </si>
  <si>
    <t>MMC allowable</t>
  </si>
  <si>
    <r>
      <t>Foreign/
scheduled broadcaster</t>
    </r>
    <r>
      <rPr>
        <b/>
        <sz val="10"/>
        <color rgb="FF1F497D"/>
        <rFont val="Calibri"/>
        <family val="2"/>
        <scheme val="minor"/>
      </rPr>
      <t xml:space="preserve"> (3)</t>
    </r>
  </si>
  <si>
    <t>PBRC</t>
  </si>
  <si>
    <t>Devis inférieur à 800 000 $/heure</t>
  </si>
  <si>
    <t>Live-action</t>
  </si>
  <si>
    <t>Lesser of 10% or
$130,000/hour</t>
  </si>
  <si>
    <t>Lesser of 10% or
$100,000/hour</t>
  </si>
  <si>
    <t>All projects</t>
  </si>
  <si>
    <t>Lesser of 10% or 
$315,000/hour</t>
  </si>
  <si>
    <t>Lesser of 10% or
$315,000/hour</t>
  </si>
  <si>
    <t>Lesser of 10% or
$235,000/hour</t>
  </si>
  <si>
    <t>Lesser of 5% or
$230,000/project</t>
  </si>
  <si>
    <t>Lesser of 10% or 
$205,000/1/2-hour</t>
  </si>
  <si>
    <t>Lesser of 10% or
$525,000/hour</t>
  </si>
  <si>
    <t>* ANIMATION *</t>
  </si>
  <si>
    <t>All projects excluding Children and Youth programming</t>
  </si>
  <si>
    <t>Lesser of 5% or
$190,000/project</t>
  </si>
  <si>
    <t>Lesser of 10% or
$90,000/project</t>
  </si>
  <si>
    <t xml:space="preserve">60 %
(max 550 000 $) 
Combined Programs 84% </t>
  </si>
  <si>
    <t xml:space="preserve">60 %
(max 750 000 $) 
Combined Programs 84% </t>
  </si>
  <si>
    <t>Surplus
No-trigger amounts</t>
  </si>
  <si>
    <t>Feature-length
documentary</t>
  </si>
  <si>
    <t>*Drama*</t>
  </si>
  <si>
    <t>*All Projects excluding Drama and Animation*</t>
  </si>
  <si>
    <t>*Animation*</t>
  </si>
  <si>
    <t>Foreign /scheduled broadcaster</t>
  </si>
  <si>
    <r>
      <t>All projects (</t>
    </r>
    <r>
      <rPr>
        <u/>
        <sz val="9"/>
        <rFont val="Calibri"/>
        <family val="2"/>
        <scheme val="minor"/>
      </rPr>
      <t>excluding feature-length documentaries</t>
    </r>
    <r>
      <rPr>
        <sz val="9"/>
        <rFont val="Calibri"/>
        <family val="2"/>
        <scheme val="minor"/>
      </rPr>
      <t>)</t>
    </r>
  </si>
  <si>
    <r>
      <t xml:space="preserve">Canadian
Licence Fee </t>
    </r>
    <r>
      <rPr>
        <b/>
        <sz val="10"/>
        <color rgb="FF1F497D"/>
        <rFont val="Calibri"/>
        <family val="2"/>
      </rPr>
      <t>(1)*</t>
    </r>
  </si>
  <si>
    <t>Distributor</t>
  </si>
  <si>
    <t>International Entity</t>
  </si>
  <si>
    <t>Foreign/ scheduled broadcaster</t>
  </si>
  <si>
    <t>Distributeur</t>
  </si>
  <si>
    <t>Entité Internationale</t>
  </si>
  <si>
    <t>Télédiffuseur étranger/ programmé</t>
  </si>
  <si>
    <r>
      <rPr>
        <b/>
        <sz val="10"/>
        <color rgb="FF000000"/>
        <rFont val="Calibri"/>
        <family val="2"/>
      </rPr>
      <t xml:space="preserve">Droits de diffusion admissibles (canadiens)
</t>
    </r>
    <r>
      <rPr>
        <b/>
        <sz val="10"/>
        <color rgb="FF1F497D"/>
        <rFont val="Calibri"/>
        <family val="2"/>
      </rPr>
      <t>(1)</t>
    </r>
    <r>
      <rPr>
        <b/>
        <sz val="10"/>
        <rFont val="Calibri"/>
        <family val="2"/>
      </rPr>
      <t>*</t>
    </r>
  </si>
  <si>
    <t>*Rappel : pour avoir recours aux enveloppes de l’accès parallèle, il faudra avoir obtenu un droit de diffusion admissible d’au moins 5 000 $ au moment du dépôt de la demande (voir la section 3.2 du Guide des enveloppes des télédiffuseurs)</t>
  </si>
  <si>
    <t>*Reminder: Use of the Alternative Access Allocation requires an accompanying minimum Eligible Licence Fee of $5,000 in the application (see section 3.2 of the Broadcaster Envelope Manual)</t>
  </si>
  <si>
    <t>Lesser of 10% or
$240,000/hour</t>
  </si>
  <si>
    <t>MOW or miniseries $800,000/hour to $1,857,143/hour</t>
  </si>
  <si>
    <t>MOW or miniseries more than $1,857,143/hour</t>
  </si>
  <si>
    <r>
      <t xml:space="preserve">Broadcaster 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
Or foreign/scheduled broadcaster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</si>
</sst>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#,##0\ &quot;$&quot;_);\(#,##0\ &quot;$&quot;\)"/>
    <numFmt numFmtId="6" formatCode="#,##0\ &quot;$&quot;_);[Red]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_-* #,##0_-;\-* #,##0_-;_-* &quot;-&quot;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&quot;$&quot;#,##0.00_);\(&quot;$&quot;#,##0.00\)"/>
    <numFmt numFmtId="168" formatCode="0.0%"/>
    <numFmt numFmtId="169" formatCode="[$-409]d\-mmm\-yyyy;@"/>
    <numFmt numFmtId="170" formatCode="&quot;$&quot;#,##0"/>
    <numFmt numFmtId="171" formatCode="#,##0.0_);\(#,##0.0\)"/>
    <numFmt numFmtId="172" formatCode="[$$-409]#,##0_);\([$$-409]#,##0\)"/>
    <numFmt numFmtId="173" formatCode="[$-40C]d\-mmm\-yyyy;@"/>
    <numFmt numFmtId="174" formatCode="[$$-1009]#,##0;\-[$$-1009]#,##0"/>
    <numFmt numFmtId="175" formatCode="#,##0\ [$$-C0C]_);\(#,##0\ [$$-C0C]\)"/>
    <numFmt numFmtId="176" formatCode="#,##0.00\ [$$-C0C]_);\(#,##0.00\ [$$-C0C]\)"/>
    <numFmt numFmtId="177" formatCode="#,##0\ &quot;$&quot;"/>
    <numFmt numFmtId="178" formatCode="_ * #,##0_)\ [$$-C0C]_ ;_ * \(#,##0\)\ [$$-C0C]_ ;_ * &quot;-&quot;??_)\ [$$-C0C]_ ;_ @_ "/>
    <numFmt numFmtId="179" formatCode="#,##0\ [$$-C0C]"/>
    <numFmt numFmtId="180" formatCode="#,##0\ [$$-C0C]_);[Red]\(#,##0\ [$$-C0C]\)"/>
    <numFmt numFmtId="181" formatCode="_ * #,##0_)\ &quot;$&quot;_ ;_ * \(#,##0\)\ &quot;$&quot;_ ;_ * &quot;-&quot;??_)\ &quot;$&quot;_ ;_ @_ "/>
    <numFmt numFmtId="182" formatCode="yyyy/mm/dd;@"/>
  </numFmts>
  <fonts count="59" x14ac:knownFonts="1">
    <font>
      <sz val="12"/>
      <name val="Arial"/>
    </font>
    <font>
      <sz val="12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sz val="9"/>
      <color indexed="81"/>
      <name val="Tahoma"/>
      <family val="2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0"/>
      <color rgb="FF1F497D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color rgb="FF1F497D"/>
      <name val="Calibri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1F497D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16365C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7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1EB8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right" vertical="center" wrapText="1"/>
    </xf>
    <xf numFmtId="9" fontId="9" fillId="3" borderId="5" xfId="3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37" fontId="10" fillId="2" borderId="5" xfId="2" applyNumberFormat="1" applyFont="1" applyFill="1" applyBorder="1" applyAlignment="1" applyProtection="1">
      <alignment horizontal="center" vertical="center" wrapText="1"/>
      <protection locked="0"/>
    </xf>
    <xf numFmtId="171" fontId="10" fillId="3" borderId="5" xfId="2" applyNumberFormat="1" applyFont="1" applyFill="1" applyBorder="1" applyAlignment="1" applyProtection="1">
      <alignment horizontal="center" vertical="center" wrapText="1"/>
    </xf>
    <xf numFmtId="49" fontId="10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9" fillId="12" borderId="5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5" fontId="9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4" applyFont="1"/>
    <xf numFmtId="0" fontId="10" fillId="0" borderId="0" xfId="4" applyFont="1" applyAlignment="1">
      <alignment horizont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10" fillId="0" borderId="4" xfId="4" applyFont="1" applyBorder="1" applyAlignment="1">
      <alignment vertical="center"/>
    </xf>
    <xf numFmtId="0" fontId="13" fillId="0" borderId="5" xfId="4" applyFont="1" applyBorder="1" applyAlignment="1">
      <alignment horizontal="center" vertical="center" wrapText="1"/>
    </xf>
    <xf numFmtId="0" fontId="12" fillId="0" borderId="0" xfId="4" applyFont="1" applyAlignment="1">
      <alignment vertical="center" wrapText="1"/>
    </xf>
    <xf numFmtId="0" fontId="13" fillId="0" borderId="3" xfId="4" applyFont="1" applyBorder="1" applyAlignment="1">
      <alignment horizontal="center" vertical="center" wrapText="1"/>
    </xf>
    <xf numFmtId="165" fontId="12" fillId="0" borderId="4" xfId="2" applyFont="1" applyFill="1" applyBorder="1" applyAlignment="1" applyProtection="1">
      <alignment vertical="center" wrapText="1"/>
    </xf>
    <xf numFmtId="165" fontId="12" fillId="6" borderId="4" xfId="2" applyFont="1" applyFill="1" applyBorder="1" applyAlignment="1" applyProtection="1">
      <alignment horizontal="right" vertical="center" wrapText="1"/>
    </xf>
    <xf numFmtId="0" fontId="12" fillId="6" borderId="4" xfId="4" applyFont="1" applyFill="1" applyBorder="1" applyAlignment="1">
      <alignment horizontal="right" vertical="center" wrapText="1"/>
    </xf>
    <xf numFmtId="0" fontId="17" fillId="6" borderId="4" xfId="4" applyFont="1" applyFill="1" applyBorder="1" applyAlignment="1">
      <alignment horizontal="left" vertical="center"/>
    </xf>
    <xf numFmtId="0" fontId="9" fillId="0" borderId="0" xfId="4" applyFont="1" applyAlignment="1">
      <alignment vertical="center"/>
    </xf>
    <xf numFmtId="0" fontId="13" fillId="0" borderId="0" xfId="4" applyFont="1" applyAlignment="1">
      <alignment horizontal="right" vertical="center" wrapText="1"/>
    </xf>
    <xf numFmtId="0" fontId="12" fillId="0" borderId="0" xfId="4" applyFont="1" applyAlignment="1">
      <alignment horizontal="center" vertical="center"/>
    </xf>
    <xf numFmtId="0" fontId="13" fillId="0" borderId="0" xfId="4" applyFont="1"/>
    <xf numFmtId="0" fontId="13" fillId="0" borderId="4" xfId="4" applyFont="1" applyBorder="1"/>
    <xf numFmtId="0" fontId="13" fillId="6" borderId="4" xfId="4" applyFont="1" applyFill="1" applyBorder="1"/>
    <xf numFmtId="0" fontId="13" fillId="6" borderId="4" xfId="4" applyFont="1" applyFill="1" applyBorder="1" applyAlignment="1">
      <alignment wrapText="1"/>
    </xf>
    <xf numFmtId="0" fontId="13" fillId="0" borderId="0" xfId="4" applyFont="1" applyAlignment="1">
      <alignment vertical="center" wrapText="1"/>
    </xf>
    <xf numFmtId="0" fontId="12" fillId="0" borderId="0" xfId="4" applyFont="1" applyAlignment="1">
      <alignment horizontal="right" vertical="center"/>
    </xf>
    <xf numFmtId="164" fontId="12" fillId="0" borderId="0" xfId="1" applyFont="1" applyFill="1" applyBorder="1" applyAlignment="1" applyProtection="1">
      <alignment vertical="center" wrapText="1"/>
    </xf>
    <xf numFmtId="0" fontId="12" fillId="0" borderId="0" xfId="4" applyFont="1" applyAlignment="1">
      <alignment horizontal="left" vertical="center"/>
    </xf>
    <xf numFmtId="0" fontId="13" fillId="0" borderId="0" xfId="4" applyFont="1" applyAlignment="1">
      <alignment vertical="center"/>
    </xf>
    <xf numFmtId="177" fontId="9" fillId="0" borderId="0" xfId="2" applyNumberFormat="1" applyFont="1" applyFill="1" applyBorder="1" applyAlignment="1" applyProtection="1">
      <alignment horizontal="right" vertical="center" wrapText="1"/>
    </xf>
    <xf numFmtId="177" fontId="9" fillId="0" borderId="23" xfId="2" applyNumberFormat="1" applyFont="1" applyFill="1" applyBorder="1" applyAlignment="1" applyProtection="1">
      <alignment horizontal="center" vertical="center" wrapText="1"/>
    </xf>
    <xf numFmtId="0" fontId="12" fillId="2" borderId="5" xfId="4" applyFont="1" applyFill="1" applyBorder="1" applyAlignment="1" applyProtection="1">
      <alignment horizontal="center" vertical="center" wrapText="1"/>
      <protection locked="0"/>
    </xf>
    <xf numFmtId="0" fontId="10" fillId="2" borderId="5" xfId="4" applyFont="1" applyFill="1" applyBorder="1" applyAlignment="1" applyProtection="1">
      <alignment horizontal="center" vertical="center" wrapText="1"/>
      <protection locked="0"/>
    </xf>
    <xf numFmtId="5" fontId="10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9" fillId="10" borderId="12" xfId="4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164" fontId="12" fillId="0" borderId="0" xfId="1" applyFont="1" applyFill="1" applyBorder="1" applyAlignment="1" applyProtection="1">
      <alignment vertical="center" wrapText="1"/>
      <protection locked="0"/>
    </xf>
    <xf numFmtId="0" fontId="10" fillId="0" borderId="0" xfId="4" applyFont="1" applyAlignment="1">
      <alignment horizontal="right" vertical="center" wrapText="1"/>
    </xf>
    <xf numFmtId="0" fontId="12" fillId="0" borderId="0" xfId="4" applyFont="1" applyAlignment="1">
      <alignment horizontal="center" vertical="center" wrapText="1"/>
    </xf>
    <xf numFmtId="0" fontId="9" fillId="0" borderId="0" xfId="4" applyFont="1" applyAlignment="1">
      <alignment horizontal="right" vertical="center"/>
    </xf>
    <xf numFmtId="171" fontId="9" fillId="0" borderId="0" xfId="2" applyNumberFormat="1" applyFont="1" applyFill="1" applyBorder="1" applyAlignment="1" applyProtection="1">
      <alignment horizontal="center" vertical="center" wrapText="1"/>
    </xf>
    <xf numFmtId="0" fontId="10" fillId="0" borderId="0" xfId="4" applyFont="1" applyProtection="1">
      <protection locked="0"/>
    </xf>
    <xf numFmtId="0" fontId="9" fillId="0" borderId="0" xfId="4" applyFont="1" applyAlignment="1">
      <alignment horizontal="right" vertical="center" wrapText="1"/>
    </xf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vertical="center" wrapText="1"/>
    </xf>
    <xf numFmtId="165" fontId="14" fillId="0" borderId="0" xfId="2" applyFont="1" applyFill="1" applyBorder="1" applyAlignment="1" applyProtection="1">
      <alignment horizontal="left" vertical="center" wrapText="1"/>
    </xf>
    <xf numFmtId="0" fontId="13" fillId="0" borderId="0" xfId="4" applyFont="1" applyAlignment="1">
      <alignment horizontal="right" vertical="center"/>
    </xf>
    <xf numFmtId="0" fontId="20" fillId="0" borderId="0" xfId="4" applyFont="1" applyAlignment="1">
      <alignment vertical="center"/>
    </xf>
    <xf numFmtId="0" fontId="27" fillId="0" borderId="0" xfId="4" applyFont="1" applyAlignment="1">
      <alignment vertical="center"/>
    </xf>
    <xf numFmtId="0" fontId="28" fillId="0" borderId="0" xfId="4" applyFont="1" applyAlignment="1">
      <alignment vertical="center"/>
    </xf>
    <xf numFmtId="0" fontId="0" fillId="0" borderId="0" xfId="0" applyAlignment="1">
      <alignment horizontal="center" vertical="center" wrapText="1"/>
    </xf>
    <xf numFmtId="172" fontId="12" fillId="3" borderId="5" xfId="2" applyNumberFormat="1" applyFont="1" applyFill="1" applyBorder="1" applyAlignment="1" applyProtection="1">
      <alignment horizontal="right" vertical="center" shrinkToFit="1"/>
    </xf>
    <xf numFmtId="172" fontId="10" fillId="5" borderId="5" xfId="2" applyNumberFormat="1" applyFont="1" applyFill="1" applyBorder="1" applyAlignment="1" applyProtection="1">
      <alignment horizontal="right" vertical="center" shrinkToFit="1"/>
      <protection locked="0"/>
    </xf>
    <xf numFmtId="179" fontId="9" fillId="15" borderId="16" xfId="2" applyNumberFormat="1" applyFont="1" applyFill="1" applyBorder="1" applyAlignment="1" applyProtection="1">
      <alignment horizontal="right" vertical="center" shrinkToFit="1"/>
    </xf>
    <xf numFmtId="0" fontId="35" fillId="0" borderId="0" xfId="0" applyFont="1" applyAlignment="1">
      <alignment vertical="center"/>
    </xf>
    <xf numFmtId="0" fontId="35" fillId="0" borderId="0" xfId="0" applyFont="1"/>
    <xf numFmtId="0" fontId="12" fillId="0" borderId="0" xfId="4" applyFont="1"/>
    <xf numFmtId="0" fontId="12" fillId="0" borderId="0" xfId="4" applyFont="1" applyAlignment="1">
      <alignment wrapText="1"/>
    </xf>
    <xf numFmtId="0" fontId="9" fillId="0" borderId="5" xfId="4" applyFont="1" applyBorder="1" applyAlignment="1">
      <alignment horizontal="center" vertical="center" wrapText="1"/>
    </xf>
    <xf numFmtId="0" fontId="12" fillId="3" borderId="14" xfId="4" applyFont="1" applyFill="1" applyBorder="1" applyAlignment="1">
      <alignment horizontal="center" vertical="center" wrapText="1"/>
    </xf>
    <xf numFmtId="1" fontId="12" fillId="3" borderId="3" xfId="4" applyNumberFormat="1" applyFont="1" applyFill="1" applyBorder="1" applyAlignment="1">
      <alignment horizontal="center" vertical="center" wrapText="1"/>
    </xf>
    <xf numFmtId="7" fontId="10" fillId="0" borderId="0" xfId="4" applyNumberFormat="1" applyFont="1" applyAlignment="1">
      <alignment horizontal="right" vertical="center" wrapText="1"/>
    </xf>
    <xf numFmtId="180" fontId="10" fillId="5" borderId="5" xfId="2" applyNumberFormat="1" applyFont="1" applyFill="1" applyBorder="1" applyAlignment="1" applyProtection="1">
      <alignment horizontal="center" vertical="center" wrapText="1"/>
      <protection locked="0"/>
    </xf>
    <xf numFmtId="9" fontId="10" fillId="0" borderId="5" xfId="0" applyNumberFormat="1" applyFont="1" applyBorder="1" applyAlignment="1">
      <alignment horizontal="center" vertical="center" wrapText="1"/>
    </xf>
    <xf numFmtId="174" fontId="10" fillId="2" borderId="5" xfId="2" applyNumberFormat="1" applyFont="1" applyFill="1" applyBorder="1" applyAlignment="1" applyProtection="1">
      <alignment horizontal="right" vertical="center" shrinkToFit="1"/>
      <protection locked="0"/>
    </xf>
    <xf numFmtId="5" fontId="10" fillId="16" borderId="5" xfId="2" applyNumberFormat="1" applyFont="1" applyFill="1" applyBorder="1" applyAlignment="1" applyProtection="1">
      <alignment horizontal="center" vertical="center" shrinkToFit="1"/>
    </xf>
    <xf numFmtId="5" fontId="10" fillId="2" borderId="5" xfId="2" applyNumberFormat="1" applyFont="1" applyFill="1" applyBorder="1" applyAlignment="1" applyProtection="1">
      <alignment horizontal="right" vertical="center" shrinkToFit="1"/>
      <protection locked="0"/>
    </xf>
    <xf numFmtId="0" fontId="40" fillId="0" borderId="0" xfId="0" applyFont="1"/>
    <xf numFmtId="0" fontId="37" fillId="0" borderId="0" xfId="0" applyFont="1" applyAlignment="1">
      <alignment vertical="center"/>
    </xf>
    <xf numFmtId="0" fontId="9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vertical="center" wrapText="1"/>
    </xf>
    <xf numFmtId="5" fontId="10" fillId="2" borderId="5" xfId="2" applyNumberFormat="1" applyFont="1" applyFill="1" applyBorder="1" applyAlignment="1" applyProtection="1">
      <alignment vertical="center" shrinkToFit="1"/>
      <protection locked="0"/>
    </xf>
    <xf numFmtId="37" fontId="10" fillId="2" borderId="5" xfId="2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4" applyFont="1" applyAlignment="1" applyProtection="1">
      <alignment vertical="center"/>
      <protection hidden="1"/>
    </xf>
    <xf numFmtId="0" fontId="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8" fillId="0" borderId="0" xfId="0" applyFont="1" applyProtection="1">
      <protection locked="0"/>
    </xf>
    <xf numFmtId="0" fontId="42" fillId="0" borderId="0" xfId="0" applyFont="1" applyAlignment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13" borderId="5" xfId="4" applyFont="1" applyFill="1" applyBorder="1" applyAlignment="1">
      <alignment horizontal="center" vertical="center" wrapText="1"/>
    </xf>
    <xf numFmtId="0" fontId="9" fillId="14" borderId="3" xfId="4" applyFont="1" applyFill="1" applyBorder="1" applyAlignment="1">
      <alignment horizontal="center" vertical="center" wrapText="1"/>
    </xf>
    <xf numFmtId="0" fontId="9" fillId="14" borderId="1" xfId="4" applyFont="1" applyFill="1" applyBorder="1" applyAlignment="1">
      <alignment horizontal="center" vertical="center" wrapText="1"/>
    </xf>
    <xf numFmtId="0" fontId="13" fillId="14" borderId="1" xfId="4" applyFont="1" applyFill="1" applyBorder="1" applyAlignment="1">
      <alignment horizontal="center" vertical="center" wrapText="1"/>
    </xf>
    <xf numFmtId="0" fontId="13" fillId="14" borderId="6" xfId="4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13" fillId="0" borderId="3" xfId="4" applyFont="1" applyBorder="1" applyAlignment="1">
      <alignment horizontal="right" vertical="center" wrapText="1"/>
    </xf>
    <xf numFmtId="0" fontId="13" fillId="0" borderId="1" xfId="4" applyFont="1" applyBorder="1" applyAlignment="1">
      <alignment horizontal="right" vertical="center" wrapText="1"/>
    </xf>
    <xf numFmtId="0" fontId="9" fillId="0" borderId="14" xfId="4" applyFont="1" applyBorder="1" applyAlignment="1">
      <alignment horizontal="center" vertical="center" wrapText="1"/>
    </xf>
    <xf numFmtId="0" fontId="45" fillId="0" borderId="0" xfId="0" applyFont="1" applyAlignment="1">
      <alignment horizontal="right" vertical="center" wrapText="1"/>
    </xf>
    <xf numFmtId="0" fontId="28" fillId="14" borderId="0" xfId="0" applyFont="1" applyFill="1" applyAlignment="1" applyProtection="1">
      <alignment vertical="center"/>
      <protection hidden="1"/>
    </xf>
    <xf numFmtId="0" fontId="26" fillId="14" borderId="0" xfId="0" applyFont="1" applyFill="1" applyAlignment="1" applyProtection="1">
      <alignment vertical="center"/>
      <protection hidden="1"/>
    </xf>
    <xf numFmtId="0" fontId="32" fillId="14" borderId="18" xfId="0" applyFont="1" applyFill="1" applyBorder="1" applyAlignment="1" applyProtection="1">
      <alignment horizontal="left" vertical="center" wrapText="1"/>
      <protection hidden="1"/>
    </xf>
    <xf numFmtId="0" fontId="26" fillId="14" borderId="4" xfId="0" applyFont="1" applyFill="1" applyBorder="1" applyAlignment="1" applyProtection="1">
      <alignment vertical="center"/>
      <protection hidden="1"/>
    </xf>
    <xf numFmtId="0" fontId="28" fillId="0" borderId="4" xfId="0" applyFont="1" applyBorder="1" applyAlignment="1" applyProtection="1">
      <alignment vertical="center"/>
      <protection hidden="1"/>
    </xf>
    <xf numFmtId="0" fontId="28" fillId="14" borderId="1" xfId="0" applyFont="1" applyFill="1" applyBorder="1" applyAlignment="1" applyProtection="1">
      <alignment vertical="center" wrapText="1"/>
      <protection hidden="1"/>
    </xf>
    <xf numFmtId="0" fontId="0" fillId="0" borderId="0" xfId="0" applyAlignment="1">
      <alignment horizontal="left" vertical="top" wrapText="1"/>
    </xf>
    <xf numFmtId="0" fontId="9" fillId="0" borderId="9" xfId="4" applyFont="1" applyBorder="1" applyAlignment="1">
      <alignment horizontal="center" vertical="center" shrinkToFit="1"/>
    </xf>
    <xf numFmtId="182" fontId="12" fillId="3" borderId="9" xfId="4" applyNumberFormat="1" applyFont="1" applyFill="1" applyBorder="1" applyAlignment="1">
      <alignment horizontal="center" vertical="center" shrinkToFit="1"/>
    </xf>
    <xf numFmtId="182" fontId="12" fillId="3" borderId="5" xfId="4" applyNumberFormat="1" applyFont="1" applyFill="1" applyBorder="1" applyAlignment="1">
      <alignment horizontal="center" vertical="center" shrinkToFit="1"/>
    </xf>
    <xf numFmtId="0" fontId="31" fillId="0" borderId="0" xfId="0" applyFont="1"/>
    <xf numFmtId="0" fontId="31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7" fillId="0" borderId="0" xfId="0" applyFont="1"/>
    <xf numFmtId="171" fontId="10" fillId="3" borderId="5" xfId="2" applyNumberFormat="1" applyFont="1" applyFill="1" applyBorder="1" applyAlignment="1" applyProtection="1">
      <alignment horizontal="center" vertical="center" shrinkToFit="1"/>
    </xf>
    <xf numFmtId="178" fontId="10" fillId="3" borderId="5" xfId="5" applyNumberFormat="1" applyFont="1" applyFill="1" applyBorder="1" applyAlignment="1" applyProtection="1">
      <alignment horizontal="center" vertical="center" shrinkToFit="1"/>
    </xf>
    <xf numFmtId="5" fontId="12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28" fillId="9" borderId="0" xfId="0" applyFont="1" applyFill="1" applyAlignment="1" applyProtection="1">
      <alignment horizontal="center" vertical="center"/>
      <protection locked="0" hidden="1"/>
    </xf>
    <xf numFmtId="5" fontId="10" fillId="9" borderId="0" xfId="4" applyNumberFormat="1" applyFont="1" applyFill="1" applyAlignment="1" applyProtection="1">
      <alignment vertical="center"/>
      <protection hidden="1"/>
    </xf>
    <xf numFmtId="0" fontId="31" fillId="9" borderId="0" xfId="0" applyFont="1" applyFill="1" applyAlignment="1" applyProtection="1">
      <alignment horizontal="center" vertical="center"/>
      <protection hidden="1"/>
    </xf>
    <xf numFmtId="171" fontId="10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173" fontId="10" fillId="3" borderId="5" xfId="4" applyNumberFormat="1" applyFont="1" applyFill="1" applyBorder="1" applyAlignment="1" applyProtection="1">
      <alignment horizontal="center" vertical="center" shrinkToFit="1"/>
      <protection hidden="1"/>
    </xf>
    <xf numFmtId="0" fontId="13" fillId="0" borderId="9" xfId="4" applyFont="1" applyBorder="1" applyAlignment="1" applyProtection="1">
      <alignment horizontal="center" vertical="center" wrapText="1"/>
      <protection hidden="1"/>
    </xf>
    <xf numFmtId="0" fontId="9" fillId="10" borderId="5" xfId="4" applyFont="1" applyFill="1" applyBorder="1" applyAlignment="1" applyProtection="1">
      <alignment horizontal="center" vertical="center" wrapText="1"/>
      <protection hidden="1"/>
    </xf>
    <xf numFmtId="0" fontId="9" fillId="13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23" fillId="0" borderId="14" xfId="4" applyFont="1" applyBorder="1" applyAlignment="1" applyProtection="1">
      <alignment horizontal="center" vertical="center" wrapText="1"/>
      <protection hidden="1"/>
    </xf>
    <xf numFmtId="49" fontId="13" fillId="16" borderId="9" xfId="4" applyNumberFormat="1" applyFont="1" applyFill="1" applyBorder="1" applyAlignment="1" applyProtection="1">
      <alignment horizontal="center" vertical="center" shrinkToFit="1"/>
      <protection hidden="1"/>
    </xf>
    <xf numFmtId="181" fontId="12" fillId="3" borderId="20" xfId="5" applyNumberFormat="1" applyFont="1" applyFill="1" applyBorder="1" applyAlignment="1" applyProtection="1">
      <alignment horizontal="center" vertical="center" wrapText="1"/>
      <protection hidden="1"/>
    </xf>
    <xf numFmtId="175" fontId="10" fillId="16" borderId="3" xfId="2" applyNumberFormat="1" applyFont="1" applyFill="1" applyBorder="1" applyAlignment="1" applyProtection="1">
      <alignment horizontal="center" vertical="center" shrinkToFit="1"/>
      <protection hidden="1"/>
    </xf>
    <xf numFmtId="10" fontId="10" fillId="16" borderId="1" xfId="3" applyNumberFormat="1" applyFont="1" applyFill="1" applyBorder="1" applyAlignment="1" applyProtection="1">
      <alignment horizontal="center" vertical="center" shrinkToFit="1"/>
      <protection hidden="1"/>
    </xf>
    <xf numFmtId="175" fontId="12" fillId="16" borderId="1" xfId="2" applyNumberFormat="1" applyFont="1" applyFill="1" applyBorder="1" applyAlignment="1" applyProtection="1">
      <alignment horizontal="center" vertical="center" shrinkToFit="1"/>
      <protection hidden="1"/>
    </xf>
    <xf numFmtId="175" fontId="10" fillId="16" borderId="6" xfId="2" applyNumberFormat="1" applyFont="1" applyFill="1" applyBorder="1" applyAlignment="1" applyProtection="1">
      <alignment horizontal="center" vertical="center" shrinkToFit="1"/>
      <protection hidden="1"/>
    </xf>
    <xf numFmtId="0" fontId="13" fillId="0" borderId="14" xfId="4" applyFont="1" applyBorder="1" applyAlignment="1" applyProtection="1">
      <alignment horizontal="center" vertical="center" shrinkToFit="1"/>
      <protection hidden="1"/>
    </xf>
    <xf numFmtId="49" fontId="12" fillId="16" borderId="9" xfId="4" applyNumberFormat="1" applyFont="1" applyFill="1" applyBorder="1" applyAlignment="1" applyProtection="1">
      <alignment horizontal="center" vertical="center" shrinkToFit="1"/>
      <protection hidden="1"/>
    </xf>
    <xf numFmtId="175" fontId="10" fillId="16" borderId="9" xfId="2" applyNumberFormat="1" applyFont="1" applyFill="1" applyBorder="1" applyAlignment="1" applyProtection="1">
      <alignment horizontal="center" vertical="center" shrinkToFit="1"/>
      <protection hidden="1"/>
    </xf>
    <xf numFmtId="10" fontId="10" fillId="16" borderId="9" xfId="3" applyNumberFormat="1" applyFont="1" applyFill="1" applyBorder="1" applyAlignment="1" applyProtection="1">
      <alignment horizontal="center" vertical="center" shrinkToFit="1"/>
      <protection hidden="1"/>
    </xf>
    <xf numFmtId="175" fontId="12" fillId="16" borderId="10" xfId="2" applyNumberFormat="1" applyFont="1" applyFill="1" applyBorder="1" applyAlignment="1" applyProtection="1">
      <alignment horizontal="center" vertical="center" shrinkToFit="1"/>
      <protection hidden="1"/>
    </xf>
    <xf numFmtId="0" fontId="13" fillId="0" borderId="3" xfId="4" applyFont="1" applyBorder="1" applyAlignment="1" applyProtection="1">
      <alignment horizontal="center" vertical="center" shrinkToFit="1"/>
      <protection hidden="1"/>
    </xf>
    <xf numFmtId="49" fontId="12" fillId="16" borderId="12" xfId="4" applyNumberFormat="1" applyFont="1" applyFill="1" applyBorder="1" applyAlignment="1" applyProtection="1">
      <alignment horizontal="center" vertical="center" shrinkToFit="1"/>
      <protection hidden="1"/>
    </xf>
    <xf numFmtId="175" fontId="10" fillId="16" borderId="5" xfId="2" applyNumberFormat="1" applyFont="1" applyFill="1" applyBorder="1" applyAlignment="1" applyProtection="1">
      <alignment horizontal="center" vertical="center" shrinkToFit="1"/>
      <protection hidden="1"/>
    </xf>
    <xf numFmtId="49" fontId="12" fillId="16" borderId="5" xfId="4" applyNumberFormat="1" applyFont="1" applyFill="1" applyBorder="1" applyAlignment="1" applyProtection="1">
      <alignment horizontal="center" vertical="center" shrinkToFit="1"/>
      <protection hidden="1"/>
    </xf>
    <xf numFmtId="0" fontId="13" fillId="0" borderId="17" xfId="4" applyFont="1" applyBorder="1" applyAlignment="1" applyProtection="1">
      <alignment horizontal="center" vertical="center" shrinkToFit="1"/>
      <protection hidden="1"/>
    </xf>
    <xf numFmtId="0" fontId="13" fillId="0" borderId="5" xfId="4" applyFont="1" applyBorder="1" applyAlignment="1" applyProtection="1">
      <alignment horizontal="center" vertical="center" shrinkToFit="1"/>
      <protection hidden="1"/>
    </xf>
    <xf numFmtId="49" fontId="10" fillId="16" borderId="5" xfId="4" applyNumberFormat="1" applyFont="1" applyFill="1" applyBorder="1" applyAlignment="1" applyProtection="1">
      <alignment horizontal="center" vertical="center" shrinkToFit="1"/>
      <protection hidden="1"/>
    </xf>
    <xf numFmtId="181" fontId="12" fillId="3" borderId="7" xfId="5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4" applyFont="1" applyAlignment="1" applyProtection="1">
      <alignment horizontal="center" vertical="center" shrinkToFit="1"/>
      <protection hidden="1"/>
    </xf>
    <xf numFmtId="177" fontId="13" fillId="0" borderId="0" xfId="3" applyNumberFormat="1" applyFont="1" applyFill="1" applyBorder="1" applyAlignment="1" applyProtection="1">
      <alignment horizontal="right" vertical="center" wrapText="1"/>
      <protection hidden="1"/>
    </xf>
    <xf numFmtId="181" fontId="13" fillId="4" borderId="16" xfId="5" applyNumberFormat="1" applyFont="1" applyFill="1" applyBorder="1" applyAlignment="1" applyProtection="1">
      <alignment horizontal="center" vertical="center" wrapText="1"/>
      <protection hidden="1"/>
    </xf>
    <xf numFmtId="5" fontId="13" fillId="4" borderId="8" xfId="3" applyNumberFormat="1" applyFont="1" applyFill="1" applyBorder="1" applyAlignment="1" applyProtection="1">
      <alignment horizontal="center" vertical="center" wrapText="1"/>
      <protection hidden="1"/>
    </xf>
    <xf numFmtId="181" fontId="13" fillId="3" borderId="10" xfId="5" applyNumberFormat="1" applyFont="1" applyFill="1" applyBorder="1" applyAlignment="1" applyProtection="1">
      <alignment horizontal="center" vertical="center" wrapText="1"/>
      <protection hidden="1"/>
    </xf>
    <xf numFmtId="168" fontId="27" fillId="0" borderId="0" xfId="3" applyNumberFormat="1" applyFont="1" applyFill="1" applyBorder="1" applyAlignment="1" applyProtection="1">
      <alignment horizontal="center" vertical="center" wrapText="1"/>
      <protection hidden="1"/>
    </xf>
    <xf numFmtId="176" fontId="28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right"/>
      <protection hidden="1"/>
    </xf>
    <xf numFmtId="10" fontId="14" fillId="0" borderId="0" xfId="3" applyNumberFormat="1" applyFont="1" applyFill="1" applyBorder="1" applyAlignment="1" applyProtection="1">
      <alignment horizontal="left" shrinkToFit="1"/>
      <protection hidden="1"/>
    </xf>
    <xf numFmtId="0" fontId="39" fillId="0" borderId="0" xfId="4" applyFont="1" applyAlignment="1" applyProtection="1">
      <alignment horizontal="center" vertical="center"/>
      <protection hidden="1"/>
    </xf>
    <xf numFmtId="0" fontId="28" fillId="0" borderId="0" xfId="4" applyFont="1" applyAlignment="1" applyProtection="1">
      <alignment horizontal="center" vertical="center"/>
      <protection hidden="1"/>
    </xf>
    <xf numFmtId="0" fontId="28" fillId="0" borderId="0" xfId="4" applyFont="1" applyAlignment="1" applyProtection="1">
      <alignment vertical="center"/>
      <protection hidden="1"/>
    </xf>
    <xf numFmtId="10" fontId="9" fillId="0" borderId="0" xfId="3" applyNumberFormat="1" applyFont="1" applyFill="1" applyBorder="1" applyAlignment="1" applyProtection="1">
      <alignment horizontal="left" shrinkToFit="1"/>
      <protection hidden="1"/>
    </xf>
    <xf numFmtId="0" fontId="27" fillId="0" borderId="0" xfId="4" applyFont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175" fontId="12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173" fontId="9" fillId="4" borderId="5" xfId="0" applyNumberFormat="1" applyFont="1" applyFill="1" applyBorder="1" applyAlignment="1" applyProtection="1">
      <alignment horizontal="center" vertical="center"/>
      <protection hidden="1"/>
    </xf>
    <xf numFmtId="0" fontId="10" fillId="0" borderId="0" xfId="4" applyFont="1" applyAlignment="1" applyProtection="1">
      <alignment vertical="center" shrinkToFit="1"/>
      <protection hidden="1"/>
    </xf>
    <xf numFmtId="0" fontId="12" fillId="0" borderId="0" xfId="4" applyFont="1" applyAlignment="1" applyProtection="1">
      <alignment vertical="center" shrinkToFit="1"/>
      <protection hidden="1"/>
    </xf>
    <xf numFmtId="170" fontId="9" fillId="0" borderId="2" xfId="0" applyNumberFormat="1" applyFont="1" applyBorder="1" applyAlignment="1" applyProtection="1">
      <alignment horizontal="center" vertical="center" wrapText="1"/>
      <protection hidden="1"/>
    </xf>
    <xf numFmtId="167" fontId="10" fillId="0" borderId="0" xfId="0" applyNumberFormat="1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12" fillId="0" borderId="0" xfId="4" applyFont="1" applyAlignment="1" applyProtection="1">
      <alignment vertical="center"/>
      <protection hidden="1"/>
    </xf>
    <xf numFmtId="1" fontId="10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167" fontId="10" fillId="0" borderId="1" xfId="0" applyNumberFormat="1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0" xfId="4" applyFont="1" applyAlignment="1" applyProtection="1">
      <alignment horizontal="center" vertical="center" wrapText="1"/>
      <protection hidden="1"/>
    </xf>
    <xf numFmtId="167" fontId="10" fillId="0" borderId="0" xfId="4" applyNumberFormat="1" applyFont="1" applyAlignment="1" applyProtection="1">
      <alignment horizontal="center" vertical="center" wrapText="1"/>
      <protection hidden="1"/>
    </xf>
    <xf numFmtId="0" fontId="9" fillId="0" borderId="0" xfId="4" applyFont="1" applyAlignment="1" applyProtection="1">
      <alignment horizontal="center" vertical="center" wrapText="1"/>
      <protection hidden="1"/>
    </xf>
    <xf numFmtId="0" fontId="10" fillId="0" borderId="0" xfId="4" applyFont="1" applyAlignment="1" applyProtection="1">
      <alignment horizontal="center" vertical="center"/>
      <protection hidden="1"/>
    </xf>
    <xf numFmtId="0" fontId="17" fillId="6" borderId="0" xfId="4" applyFont="1" applyFill="1" applyAlignment="1" applyProtection="1">
      <alignment vertical="center"/>
      <protection hidden="1"/>
    </xf>
    <xf numFmtId="0" fontId="12" fillId="6" borderId="0" xfId="4" applyFont="1" applyFill="1" applyAlignment="1" applyProtection="1">
      <alignment horizontal="center" vertical="center" wrapText="1"/>
      <protection hidden="1"/>
    </xf>
    <xf numFmtId="0" fontId="12" fillId="6" borderId="0" xfId="4" applyFont="1" applyFill="1" applyAlignment="1" applyProtection="1">
      <alignment horizontal="right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10" borderId="5" xfId="0" applyFont="1" applyFill="1" applyBorder="1" applyAlignment="1" applyProtection="1">
      <alignment horizontal="center" vertical="center" wrapText="1"/>
      <protection hidden="1"/>
    </xf>
    <xf numFmtId="0" fontId="13" fillId="14" borderId="2" xfId="0" applyFont="1" applyFill="1" applyBorder="1" applyAlignment="1" applyProtection="1">
      <alignment vertical="center"/>
      <protection hidden="1"/>
    </xf>
    <xf numFmtId="0" fontId="31" fillId="14" borderId="0" xfId="0" applyFont="1" applyFill="1" applyAlignment="1" applyProtection="1">
      <alignment vertical="center"/>
      <protection hidden="1"/>
    </xf>
    <xf numFmtId="0" fontId="27" fillId="14" borderId="0" xfId="0" applyFont="1" applyFill="1" applyAlignment="1" applyProtection="1">
      <alignment horizontal="center" vertical="center"/>
      <protection hidden="1"/>
    </xf>
    <xf numFmtId="0" fontId="31" fillId="14" borderId="0" xfId="0" applyFont="1" applyFill="1" applyAlignment="1" applyProtection="1">
      <alignment horizontal="center" vertical="center"/>
      <protection hidden="1"/>
    </xf>
    <xf numFmtId="0" fontId="27" fillId="14" borderId="0" xfId="0" applyFont="1" applyFill="1" applyAlignment="1" applyProtection="1">
      <alignment vertical="center"/>
      <protection hidden="1"/>
    </xf>
    <xf numFmtId="0" fontId="12" fillId="0" borderId="5" xfId="4" applyFont="1" applyBorder="1" applyAlignment="1" applyProtection="1">
      <alignment horizontal="center" vertical="center" wrapText="1"/>
      <protection hidden="1"/>
    </xf>
    <xf numFmtId="9" fontId="10" fillId="0" borderId="5" xfId="3" applyFont="1" applyBorder="1" applyAlignment="1" applyProtection="1">
      <alignment horizontal="center" vertical="center" wrapText="1"/>
      <protection hidden="1"/>
    </xf>
    <xf numFmtId="179" fontId="10" fillId="3" borderId="5" xfId="2" applyNumberFormat="1" applyFont="1" applyFill="1" applyBorder="1" applyAlignment="1" applyProtection="1">
      <alignment horizontal="center" vertical="center" shrinkToFit="1"/>
      <protection hidden="1"/>
    </xf>
    <xf numFmtId="165" fontId="10" fillId="3" borderId="3" xfId="2" applyFont="1" applyFill="1" applyBorder="1" applyAlignment="1" applyProtection="1">
      <alignment horizontal="right" vertical="center" shrinkToFit="1"/>
      <protection hidden="1"/>
    </xf>
    <xf numFmtId="165" fontId="10" fillId="3" borderId="6" xfId="2" applyFont="1" applyFill="1" applyBorder="1" applyAlignment="1" applyProtection="1">
      <alignment horizontal="center" vertical="center" shrinkToFit="1"/>
      <protection hidden="1"/>
    </xf>
    <xf numFmtId="175" fontId="12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12" fillId="17" borderId="5" xfId="2" applyNumberFormat="1" applyFont="1" applyFill="1" applyBorder="1" applyAlignment="1" applyProtection="1">
      <alignment horizontal="center" vertical="center" shrinkToFit="1"/>
      <protection hidden="1"/>
    </xf>
    <xf numFmtId="0" fontId="24" fillId="0" borderId="5" xfId="4" applyFont="1" applyBorder="1" applyAlignment="1" applyProtection="1">
      <alignment horizontal="center" vertical="center" wrapText="1"/>
      <protection hidden="1"/>
    </xf>
    <xf numFmtId="0" fontId="31" fillId="14" borderId="0" xfId="0" applyFont="1" applyFill="1" applyAlignment="1" applyProtection="1">
      <alignment horizontal="right" vertical="center"/>
      <protection hidden="1"/>
    </xf>
    <xf numFmtId="0" fontId="31" fillId="14" borderId="7" xfId="0" applyFont="1" applyFill="1" applyBorder="1" applyAlignment="1" applyProtection="1">
      <alignment horizontal="center" vertical="center"/>
      <protection hidden="1"/>
    </xf>
    <xf numFmtId="9" fontId="12" fillId="0" borderId="5" xfId="3" applyFont="1" applyBorder="1" applyAlignment="1" applyProtection="1">
      <alignment horizontal="center" vertical="center" wrapText="1"/>
      <protection hidden="1"/>
    </xf>
    <xf numFmtId="179" fontId="12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10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12" fillId="0" borderId="5" xfId="4" applyNumberFormat="1" applyFont="1" applyBorder="1" applyAlignment="1" applyProtection="1">
      <alignment horizontal="center" vertical="center" wrapText="1"/>
      <protection hidden="1"/>
    </xf>
    <xf numFmtId="0" fontId="13" fillId="14" borderId="2" xfId="0" applyFont="1" applyFill="1" applyBorder="1" applyAlignment="1" applyProtection="1">
      <alignment horizontal="left" vertical="center"/>
      <protection hidden="1"/>
    </xf>
    <xf numFmtId="0" fontId="13" fillId="14" borderId="0" xfId="0" applyFont="1" applyFill="1" applyAlignment="1" applyProtection="1">
      <alignment vertical="center"/>
      <protection hidden="1"/>
    </xf>
    <xf numFmtId="0" fontId="27" fillId="14" borderId="0" xfId="0" applyFont="1" applyFill="1" applyAlignment="1" applyProtection="1">
      <alignment horizontal="right" vertical="center"/>
      <protection hidden="1"/>
    </xf>
    <xf numFmtId="0" fontId="27" fillId="14" borderId="7" xfId="0" applyFont="1" applyFill="1" applyBorder="1" applyAlignment="1" applyProtection="1">
      <alignment vertical="center"/>
      <protection hidden="1"/>
    </xf>
    <xf numFmtId="0" fontId="12" fillId="14" borderId="18" xfId="4" applyFont="1" applyFill="1" applyBorder="1" applyAlignment="1" applyProtection="1">
      <alignment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8" borderId="5" xfId="0" applyFont="1" applyFill="1" applyBorder="1" applyAlignment="1" applyProtection="1">
      <alignment horizontal="center" vertical="center" wrapText="1"/>
      <protection hidden="1"/>
    </xf>
    <xf numFmtId="0" fontId="9" fillId="18" borderId="5" xfId="0" applyFont="1" applyFill="1" applyBorder="1" applyAlignment="1" applyProtection="1">
      <alignment horizontal="center" vertical="center" wrapText="1"/>
      <protection hidden="1"/>
    </xf>
    <xf numFmtId="0" fontId="9" fillId="10" borderId="6" xfId="0" applyFont="1" applyFill="1" applyBorder="1" applyAlignment="1" applyProtection="1">
      <alignment horizontal="center" vertical="center" wrapText="1"/>
      <protection hidden="1"/>
    </xf>
    <xf numFmtId="0" fontId="13" fillId="11" borderId="5" xfId="0" applyFont="1" applyFill="1" applyBorder="1" applyAlignment="1" applyProtection="1">
      <alignment horizontal="center" vertical="center" wrapText="1"/>
      <protection hidden="1"/>
    </xf>
    <xf numFmtId="0" fontId="9" fillId="11" borderId="6" xfId="0" applyFont="1" applyFill="1" applyBorder="1" applyAlignment="1" applyProtection="1">
      <alignment horizontal="center" vertical="center" wrapText="1"/>
      <protection hidden="1"/>
    </xf>
    <xf numFmtId="0" fontId="9" fillId="8" borderId="6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13" fillId="19" borderId="1" xfId="0" applyFont="1" applyFill="1" applyBorder="1" applyAlignment="1" applyProtection="1">
      <alignment vertical="center"/>
      <protection hidden="1"/>
    </xf>
    <xf numFmtId="0" fontId="13" fillId="19" borderId="0" xfId="0" applyFont="1" applyFill="1" applyAlignment="1" applyProtection="1">
      <alignment vertical="center"/>
      <protection hidden="1"/>
    </xf>
    <xf numFmtId="0" fontId="9" fillId="19" borderId="0" xfId="0" applyFont="1" applyFill="1" applyAlignment="1" applyProtection="1">
      <alignment vertical="center"/>
      <protection hidden="1"/>
    </xf>
    <xf numFmtId="0" fontId="9" fillId="19" borderId="7" xfId="0" applyFont="1" applyFill="1" applyBorder="1" applyAlignment="1" applyProtection="1">
      <alignment vertical="center"/>
      <protection hidden="1"/>
    </xf>
    <xf numFmtId="175" fontId="27" fillId="0" borderId="9" xfId="0" applyNumberFormat="1" applyFont="1" applyBorder="1" applyAlignment="1" applyProtection="1">
      <alignment horizontal="center" vertical="center" wrapText="1"/>
      <protection hidden="1"/>
    </xf>
    <xf numFmtId="176" fontId="12" fillId="3" borderId="9" xfId="2" applyNumberFormat="1" applyFont="1" applyFill="1" applyBorder="1" applyAlignment="1" applyProtection="1">
      <alignment horizontal="center" vertical="center"/>
      <protection hidden="1"/>
    </xf>
    <xf numFmtId="175" fontId="12" fillId="3" borderId="5" xfId="2" applyNumberFormat="1" applyFont="1" applyFill="1" applyBorder="1" applyAlignment="1" applyProtection="1">
      <alignment horizontal="center" vertical="center"/>
      <protection hidden="1"/>
    </xf>
    <xf numFmtId="176" fontId="12" fillId="3" borderId="9" xfId="2" applyNumberFormat="1" applyFont="1" applyFill="1" applyBorder="1" applyAlignment="1" applyProtection="1">
      <alignment horizontal="center" vertical="center" wrapText="1"/>
      <protection hidden="1"/>
    </xf>
    <xf numFmtId="175" fontId="12" fillId="3" borderId="9" xfId="2" applyNumberFormat="1" applyFont="1" applyFill="1" applyBorder="1" applyAlignment="1" applyProtection="1">
      <alignment horizontal="center" vertical="center" wrapText="1"/>
      <protection hidden="1"/>
    </xf>
    <xf numFmtId="175" fontId="12" fillId="3" borderId="9" xfId="2" applyNumberFormat="1" applyFont="1" applyFill="1" applyBorder="1" applyAlignment="1" applyProtection="1">
      <alignment horizontal="center" vertical="center"/>
      <protection hidden="1"/>
    </xf>
    <xf numFmtId="175" fontId="10" fillId="3" borderId="5" xfId="2" applyNumberFormat="1" applyFont="1" applyFill="1" applyBorder="1" applyAlignment="1" applyProtection="1">
      <alignment horizontal="center" vertical="center"/>
      <protection hidden="1"/>
    </xf>
    <xf numFmtId="175" fontId="10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9" fillId="19" borderId="3" xfId="0" applyFont="1" applyFill="1" applyBorder="1" applyAlignment="1" applyProtection="1">
      <alignment vertical="center"/>
      <protection hidden="1"/>
    </xf>
    <xf numFmtId="0" fontId="9" fillId="19" borderId="6" xfId="0" applyFont="1" applyFill="1" applyBorder="1" applyAlignment="1" applyProtection="1">
      <alignment vertical="center"/>
      <protection hidden="1"/>
    </xf>
    <xf numFmtId="175" fontId="27" fillId="0" borderId="5" xfId="0" applyNumberFormat="1" applyFont="1" applyBorder="1" applyAlignment="1" applyProtection="1">
      <alignment horizontal="center" vertical="center" wrapText="1"/>
      <protection hidden="1"/>
    </xf>
    <xf numFmtId="175" fontId="10" fillId="3" borderId="9" xfId="2" applyNumberFormat="1" applyFont="1" applyFill="1" applyBorder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right" vertical="center"/>
      <protection hidden="1"/>
    </xf>
    <xf numFmtId="0" fontId="10" fillId="0" borderId="0" xfId="4" applyFont="1" applyProtection="1">
      <protection hidden="1"/>
    </xf>
    <xf numFmtId="0" fontId="10" fillId="0" borderId="0" xfId="4" applyFont="1" applyAlignment="1" applyProtection="1">
      <alignment horizontal="center"/>
      <protection hidden="1"/>
    </xf>
    <xf numFmtId="0" fontId="12" fillId="0" borderId="0" xfId="4" applyFont="1" applyProtection="1">
      <protection hidden="1"/>
    </xf>
    <xf numFmtId="10" fontId="12" fillId="3" borderId="9" xfId="3" applyNumberFormat="1" applyFont="1" applyFill="1" applyBorder="1" applyAlignment="1" applyProtection="1">
      <alignment horizontal="center" vertical="center" wrapText="1"/>
      <protection hidden="1"/>
    </xf>
    <xf numFmtId="10" fontId="12" fillId="3" borderId="10" xfId="3" applyNumberFormat="1" applyFont="1" applyFill="1" applyBorder="1" applyAlignment="1" applyProtection="1">
      <alignment horizontal="center" vertical="center" wrapText="1"/>
      <protection hidden="1"/>
    </xf>
    <xf numFmtId="10" fontId="13" fillId="4" borderId="16" xfId="3" applyNumberFormat="1" applyFont="1" applyFill="1" applyBorder="1" applyAlignment="1" applyProtection="1">
      <alignment horizontal="center" vertical="center" wrapText="1"/>
      <protection hidden="1"/>
    </xf>
    <xf numFmtId="10" fontId="13" fillId="3" borderId="10" xfId="3" applyNumberFormat="1" applyFont="1" applyFill="1" applyBorder="1" applyAlignment="1" applyProtection="1">
      <alignment horizontal="center" vertical="center" wrapText="1"/>
      <protection hidden="1"/>
    </xf>
    <xf numFmtId="0" fontId="49" fillId="0" borderId="5" xfId="4" applyFont="1" applyBorder="1" applyAlignment="1">
      <alignment horizontal="center" vertical="center" wrapText="1"/>
    </xf>
    <xf numFmtId="0" fontId="50" fillId="13" borderId="5" xfId="4" applyFont="1" applyFill="1" applyBorder="1" applyAlignment="1">
      <alignment horizontal="center" vertical="center" wrapText="1"/>
    </xf>
    <xf numFmtId="0" fontId="50" fillId="13" borderId="27" xfId="0" applyFont="1" applyFill="1" applyBorder="1" applyAlignment="1" applyProtection="1">
      <alignment horizontal="center" vertical="center" wrapText="1"/>
      <protection hidden="1"/>
    </xf>
    <xf numFmtId="0" fontId="50" fillId="13" borderId="28" xfId="0" applyFont="1" applyFill="1" applyBorder="1" applyAlignment="1" applyProtection="1">
      <alignment horizontal="center" vertical="center" wrapText="1"/>
      <protection hidden="1"/>
    </xf>
    <xf numFmtId="0" fontId="9" fillId="13" borderId="2" xfId="4" applyFont="1" applyFill="1" applyBorder="1" applyAlignment="1" applyProtection="1">
      <alignment horizontal="center" vertical="center" wrapText="1"/>
      <protection hidden="1"/>
    </xf>
    <xf numFmtId="0" fontId="9" fillId="13" borderId="7" xfId="4" applyFont="1" applyFill="1" applyBorder="1" applyAlignment="1" applyProtection="1">
      <alignment horizontal="center" vertical="center" wrapText="1"/>
      <protection hidden="1"/>
    </xf>
    <xf numFmtId="175" fontId="10" fillId="16" borderId="4" xfId="2" applyNumberFormat="1" applyFont="1" applyFill="1" applyBorder="1" applyAlignment="1" applyProtection="1">
      <alignment horizontal="center" vertical="center" shrinkToFit="1"/>
      <protection hidden="1"/>
    </xf>
    <xf numFmtId="0" fontId="33" fillId="0" borderId="0" xfId="2" applyNumberFormat="1" applyFont="1" applyFill="1" applyAlignment="1" applyProtection="1">
      <alignment horizontal="left" vertical="center" wrapText="1"/>
      <protection hidden="1"/>
    </xf>
    <xf numFmtId="0" fontId="13" fillId="17" borderId="32" xfId="0" applyFont="1" applyFill="1" applyBorder="1" applyAlignment="1" applyProtection="1">
      <alignment horizontal="center" vertical="center" wrapText="1"/>
      <protection hidden="1"/>
    </xf>
    <xf numFmtId="0" fontId="9" fillId="10" borderId="3" xfId="0" applyFont="1" applyFill="1" applyBorder="1" applyAlignment="1" applyProtection="1">
      <alignment horizontal="center" vertical="center" wrapText="1"/>
      <protection hidden="1"/>
    </xf>
    <xf numFmtId="5" fontId="15" fillId="3" borderId="3" xfId="0" applyNumberFormat="1" applyFont="1" applyFill="1" applyBorder="1" applyAlignment="1">
      <alignment horizontal="right" vertical="center" wrapText="1"/>
    </xf>
    <xf numFmtId="0" fontId="28" fillId="9" borderId="2" xfId="0" applyFont="1" applyFill="1" applyBorder="1" applyAlignment="1" applyProtection="1">
      <alignment horizontal="center" vertical="center"/>
      <protection locked="0"/>
    </xf>
    <xf numFmtId="0" fontId="12" fillId="9" borderId="0" xfId="4" applyFont="1" applyFill="1" applyAlignment="1" applyProtection="1">
      <alignment vertical="center"/>
      <protection hidden="1"/>
    </xf>
    <xf numFmtId="0" fontId="55" fillId="9" borderId="0" xfId="0" applyFont="1" applyFill="1" applyAlignment="1" applyProtection="1">
      <alignment horizontal="right" vertical="center" wrapText="1"/>
      <protection locked="0"/>
    </xf>
    <xf numFmtId="0" fontId="10" fillId="9" borderId="0" xfId="4" applyFont="1" applyFill="1" applyAlignment="1" applyProtection="1">
      <alignment vertical="center"/>
      <protection hidden="1"/>
    </xf>
    <xf numFmtId="0" fontId="28" fillId="9" borderId="0" xfId="0" applyFont="1" applyFill="1" applyAlignment="1" applyProtection="1">
      <alignment vertical="center"/>
      <protection hidden="1"/>
    </xf>
    <xf numFmtId="0" fontId="56" fillId="9" borderId="0" xfId="0" applyFont="1" applyFill="1" applyAlignment="1" applyProtection="1">
      <alignment vertical="center" wrapText="1"/>
      <protection hidden="1"/>
    </xf>
    <xf numFmtId="0" fontId="56" fillId="9" borderId="0" xfId="4" applyFont="1" applyFill="1" applyAlignment="1" applyProtection="1">
      <alignment vertical="center"/>
      <protection hidden="1"/>
    </xf>
    <xf numFmtId="172" fontId="10" fillId="3" borderId="5" xfId="2" applyNumberFormat="1" applyFont="1" applyFill="1" applyBorder="1" applyAlignment="1" applyProtection="1">
      <alignment horizontal="center" vertical="center"/>
    </xf>
    <xf numFmtId="0" fontId="13" fillId="0" borderId="34" xfId="4" applyFont="1" applyBorder="1" applyAlignment="1">
      <alignment horizontal="right" vertical="center" wrapText="1"/>
    </xf>
    <xf numFmtId="0" fontId="13" fillId="0" borderId="15" xfId="4" applyFont="1" applyBorder="1" applyAlignment="1">
      <alignment horizontal="right" vertical="center" wrapText="1"/>
    </xf>
    <xf numFmtId="172" fontId="10" fillId="5" borderId="5" xfId="2" applyNumberFormat="1" applyFont="1" applyFill="1" applyBorder="1" applyAlignment="1" applyProtection="1">
      <alignment horizontal="center" vertical="center" shrinkToFit="1"/>
      <protection locked="0"/>
    </xf>
    <xf numFmtId="0" fontId="38" fillId="0" borderId="0" xfId="4" applyFont="1" applyAlignment="1">
      <alignment horizontal="right" vertical="center"/>
    </xf>
    <xf numFmtId="172" fontId="9" fillId="3" borderId="5" xfId="2" applyNumberFormat="1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 vertical="center" wrapText="1"/>
      <protection hidden="1"/>
    </xf>
    <xf numFmtId="0" fontId="9" fillId="13" borderId="29" xfId="0" applyFont="1" applyFill="1" applyBorder="1" applyAlignment="1" applyProtection="1">
      <alignment horizontal="center" vertical="center" wrapText="1"/>
      <protection hidden="1"/>
    </xf>
    <xf numFmtId="0" fontId="47" fillId="13" borderId="5" xfId="0" applyFont="1" applyFill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37" fillId="0" borderId="0" xfId="4" applyFont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13" fillId="6" borderId="4" xfId="4" applyFont="1" applyFill="1" applyBorder="1" applyAlignment="1">
      <alignment vertical="center" wrapText="1"/>
    </xf>
    <xf numFmtId="0" fontId="13" fillId="6" borderId="4" xfId="4" applyFont="1" applyFill="1" applyBorder="1" applyAlignment="1">
      <alignment vertical="center"/>
    </xf>
    <xf numFmtId="0" fontId="13" fillId="0" borderId="4" xfId="4" applyFont="1" applyBorder="1" applyAlignment="1">
      <alignment vertical="center"/>
    </xf>
    <xf numFmtId="0" fontId="9" fillId="10" borderId="9" xfId="4" applyFont="1" applyFill="1" applyBorder="1" applyAlignment="1">
      <alignment horizontal="center" vertical="center" wrapText="1"/>
    </xf>
    <xf numFmtId="0" fontId="9" fillId="10" borderId="14" xfId="4" applyFont="1" applyFill="1" applyBorder="1" applyAlignment="1">
      <alignment horizontal="center" vertical="center" wrapText="1"/>
    </xf>
    <xf numFmtId="0" fontId="9" fillId="13" borderId="5" xfId="4" applyFont="1" applyFill="1" applyBorder="1" applyAlignment="1" applyProtection="1">
      <alignment horizontal="center" vertical="center" wrapText="1"/>
      <protection hidden="1"/>
    </xf>
    <xf numFmtId="0" fontId="9" fillId="13" borderId="6" xfId="4" applyFont="1" applyFill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49" fontId="10" fillId="3" borderId="5" xfId="4" applyNumberFormat="1" applyFont="1" applyFill="1" applyBorder="1" applyAlignment="1" applyProtection="1">
      <alignment horizontal="center" vertical="center" shrinkToFit="1"/>
      <protection hidden="1"/>
    </xf>
    <xf numFmtId="172" fontId="10" fillId="3" borderId="5" xfId="2" applyNumberFormat="1" applyFont="1" applyFill="1" applyBorder="1" applyAlignment="1" applyProtection="1">
      <alignment horizontal="right" vertical="center" shrinkToFit="1"/>
      <protection hidden="1"/>
    </xf>
    <xf numFmtId="172" fontId="10" fillId="3" borderId="6" xfId="2" applyNumberFormat="1" applyFont="1" applyFill="1" applyBorder="1" applyAlignment="1" applyProtection="1">
      <alignment horizontal="right" vertical="center" shrinkToFit="1"/>
      <protection hidden="1"/>
    </xf>
    <xf numFmtId="172" fontId="10" fillId="3" borderId="5" xfId="2" applyNumberFormat="1" applyFont="1" applyFill="1" applyBorder="1" applyAlignment="1" applyProtection="1">
      <alignment horizontal="center" vertical="center" shrinkToFit="1"/>
      <protection hidden="1"/>
    </xf>
    <xf numFmtId="10" fontId="10" fillId="3" borderId="5" xfId="3" applyNumberFormat="1" applyFont="1" applyFill="1" applyBorder="1" applyAlignment="1" applyProtection="1">
      <alignment horizontal="center" vertical="center" shrinkToFit="1"/>
      <protection hidden="1"/>
    </xf>
    <xf numFmtId="172" fontId="10" fillId="3" borderId="11" xfId="2" applyNumberFormat="1" applyFont="1" applyFill="1" applyBorder="1" applyAlignment="1" applyProtection="1">
      <alignment horizontal="right" vertical="center" shrinkToFit="1"/>
      <protection hidden="1"/>
    </xf>
    <xf numFmtId="172" fontId="10" fillId="3" borderId="7" xfId="2" applyNumberFormat="1" applyFont="1" applyFill="1" applyBorder="1" applyAlignment="1" applyProtection="1">
      <alignment horizontal="right" vertical="center" shrinkToFit="1"/>
      <protection hidden="1"/>
    </xf>
    <xf numFmtId="49" fontId="10" fillId="3" borderId="21" xfId="4" applyNumberFormat="1" applyFont="1" applyFill="1" applyBorder="1" applyAlignment="1" applyProtection="1">
      <alignment horizontal="center" vertical="center" shrinkToFit="1"/>
      <protection hidden="1"/>
    </xf>
    <xf numFmtId="172" fontId="10" fillId="3" borderId="21" xfId="2" applyNumberFormat="1" applyFont="1" applyFill="1" applyBorder="1" applyAlignment="1" applyProtection="1">
      <alignment horizontal="right" vertical="center" shrinkToFit="1"/>
      <protection hidden="1"/>
    </xf>
    <xf numFmtId="172" fontId="10" fillId="3" borderId="22" xfId="2" applyNumberFormat="1" applyFont="1" applyFill="1" applyBorder="1" applyAlignment="1" applyProtection="1">
      <alignment horizontal="right" vertical="center" shrinkToFit="1"/>
      <protection hidden="1"/>
    </xf>
    <xf numFmtId="172" fontId="10" fillId="3" borderId="20" xfId="2" applyNumberFormat="1" applyFont="1" applyFill="1" applyBorder="1" applyAlignment="1" applyProtection="1">
      <alignment horizontal="right" vertical="center" shrinkToFit="1"/>
      <protection hidden="1"/>
    </xf>
    <xf numFmtId="5" fontId="13" fillId="4" borderId="16" xfId="2" applyNumberFormat="1" applyFont="1" applyFill="1" applyBorder="1" applyAlignment="1" applyProtection="1">
      <alignment horizontal="center" vertical="center" shrinkToFit="1"/>
      <protection hidden="1"/>
    </xf>
    <xf numFmtId="10" fontId="13" fillId="4" borderId="16" xfId="3" applyNumberFormat="1" applyFont="1" applyFill="1" applyBorder="1" applyAlignment="1" applyProtection="1">
      <alignment horizontal="center" vertical="center" shrinkToFit="1"/>
      <protection hidden="1"/>
    </xf>
    <xf numFmtId="5" fontId="13" fillId="4" borderId="16" xfId="2" applyNumberFormat="1" applyFont="1" applyFill="1" applyBorder="1" applyAlignment="1" applyProtection="1">
      <alignment horizontal="center" vertical="center" shrinkToFit="1"/>
    </xf>
    <xf numFmtId="5" fontId="13" fillId="4" borderId="19" xfId="2" applyNumberFormat="1" applyFont="1" applyFill="1" applyBorder="1" applyAlignment="1" applyProtection="1">
      <alignment horizontal="center" vertical="center" shrinkToFit="1"/>
      <protection hidden="1"/>
    </xf>
    <xf numFmtId="172" fontId="9" fillId="4" borderId="16" xfId="2" applyNumberFormat="1" applyFont="1" applyFill="1" applyBorder="1" applyAlignment="1" applyProtection="1">
      <alignment horizontal="right" vertical="center" shrinkToFit="1"/>
      <protection hidden="1"/>
    </xf>
    <xf numFmtId="10" fontId="9" fillId="4" borderId="16" xfId="3" applyNumberFormat="1" applyFont="1" applyFill="1" applyBorder="1" applyAlignment="1" applyProtection="1">
      <alignment horizontal="center" vertical="center" shrinkToFit="1"/>
      <protection hidden="1"/>
    </xf>
    <xf numFmtId="172" fontId="9" fillId="4" borderId="16" xfId="2" applyNumberFormat="1" applyFont="1" applyFill="1" applyBorder="1" applyAlignment="1" applyProtection="1">
      <alignment horizontal="right" vertical="center" shrinkToFit="1"/>
    </xf>
    <xf numFmtId="169" fontId="10" fillId="3" borderId="5" xfId="4" applyNumberFormat="1" applyFont="1" applyFill="1" applyBorder="1" applyAlignment="1" applyProtection="1">
      <alignment horizontal="center" vertical="center"/>
      <protection hidden="1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3" fillId="0" borderId="3" xfId="4" applyFont="1" applyBorder="1" applyAlignment="1" applyProtection="1">
      <alignment horizontal="center" vertical="center" wrapText="1"/>
      <protection hidden="1"/>
    </xf>
    <xf numFmtId="170" fontId="9" fillId="0" borderId="2" xfId="4" applyNumberFormat="1" applyFont="1" applyBorder="1" applyAlignment="1" applyProtection="1">
      <alignment horizontal="center" vertical="center" wrapText="1"/>
      <protection hidden="1"/>
    </xf>
    <xf numFmtId="0" fontId="9" fillId="0" borderId="2" xfId="4" applyFont="1" applyBorder="1" applyAlignment="1" applyProtection="1">
      <alignment horizontal="center" vertical="center"/>
      <protection hidden="1"/>
    </xf>
    <xf numFmtId="0" fontId="9" fillId="0" borderId="2" xfId="4" applyFont="1" applyBorder="1" applyAlignment="1" applyProtection="1">
      <alignment horizontal="center" vertical="center" wrapText="1"/>
      <protection hidden="1"/>
    </xf>
    <xf numFmtId="172" fontId="10" fillId="3" borderId="1" xfId="4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4" applyFont="1" applyBorder="1" applyAlignment="1" applyProtection="1">
      <alignment horizontal="center" vertical="center" wrapText="1"/>
      <protection hidden="1"/>
    </xf>
    <xf numFmtId="0" fontId="10" fillId="3" borderId="1" xfId="4" applyFont="1" applyFill="1" applyBorder="1" applyAlignment="1" applyProtection="1">
      <alignment horizontal="center" vertical="center" wrapText="1"/>
      <protection hidden="1"/>
    </xf>
    <xf numFmtId="0" fontId="10" fillId="0" borderId="1" xfId="4" applyFont="1" applyBorder="1" applyAlignment="1" applyProtection="1">
      <alignment horizontal="center" vertical="center" wrapText="1"/>
      <protection hidden="1"/>
    </xf>
    <xf numFmtId="1" fontId="10" fillId="3" borderId="1" xfId="4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4" applyFont="1" applyAlignment="1" applyProtection="1">
      <alignment horizontal="center" vertical="center"/>
      <protection hidden="1"/>
    </xf>
    <xf numFmtId="0" fontId="10" fillId="0" borderId="1" xfId="4" applyFont="1" applyBorder="1" applyAlignment="1" applyProtection="1">
      <alignment horizontal="center" vertical="center"/>
      <protection hidden="1"/>
    </xf>
    <xf numFmtId="167" fontId="10" fillId="0" borderId="1" xfId="4" applyNumberFormat="1" applyFont="1" applyBorder="1" applyAlignment="1" applyProtection="1">
      <alignment horizontal="center" vertical="center" wrapText="1"/>
      <protection hidden="1"/>
    </xf>
    <xf numFmtId="169" fontId="9" fillId="4" borderId="6" xfId="4" applyNumberFormat="1" applyFont="1" applyFill="1" applyBorder="1" applyAlignment="1" applyProtection="1">
      <alignment horizontal="center" vertical="center" shrinkToFit="1"/>
      <protection hidden="1"/>
    </xf>
    <xf numFmtId="0" fontId="10" fillId="0" borderId="7" xfId="4" applyFont="1" applyBorder="1" applyAlignment="1" applyProtection="1">
      <alignment horizontal="center" vertical="center"/>
      <protection hidden="1"/>
    </xf>
    <xf numFmtId="0" fontId="10" fillId="0" borderId="6" xfId="4" applyFont="1" applyBorder="1" applyAlignment="1" applyProtection="1">
      <alignment horizontal="center" vertical="center"/>
      <protection hidden="1"/>
    </xf>
    <xf numFmtId="0" fontId="10" fillId="0" borderId="3" xfId="4" applyFont="1" applyBorder="1" applyAlignment="1" applyProtection="1">
      <alignment horizontal="center" vertical="center" wrapText="1"/>
      <protection hidden="1"/>
    </xf>
    <xf numFmtId="165" fontId="12" fillId="0" borderId="4" xfId="2" applyFont="1" applyFill="1" applyBorder="1" applyAlignment="1" applyProtection="1">
      <alignment horizontal="right" vertical="center" wrapText="1"/>
    </xf>
    <xf numFmtId="0" fontId="21" fillId="6" borderId="0" xfId="4" applyFont="1" applyFill="1" applyAlignment="1">
      <alignment vertical="center"/>
    </xf>
    <xf numFmtId="0" fontId="1" fillId="6" borderId="0" xfId="4" applyFill="1" applyAlignment="1">
      <alignment vertical="center"/>
    </xf>
    <xf numFmtId="0" fontId="13" fillId="0" borderId="5" xfId="4" applyFont="1" applyBorder="1" applyAlignment="1" applyProtection="1">
      <alignment horizontal="center" vertical="center" wrapText="1"/>
      <protection hidden="1"/>
    </xf>
    <xf numFmtId="0" fontId="9" fillId="17" borderId="5" xfId="4" applyFont="1" applyFill="1" applyBorder="1" applyAlignment="1" applyProtection="1">
      <alignment horizontal="center" vertical="center" wrapText="1"/>
      <protection hidden="1"/>
    </xf>
    <xf numFmtId="0" fontId="17" fillId="6" borderId="0" xfId="4" applyFont="1" applyFill="1" applyAlignment="1">
      <alignment horizontal="left" vertical="center"/>
    </xf>
    <xf numFmtId="0" fontId="5" fillId="6" borderId="0" xfId="4" applyFont="1" applyFill="1" applyAlignment="1">
      <alignment horizontal="right" vertical="center" wrapText="1"/>
    </xf>
    <xf numFmtId="0" fontId="9" fillId="12" borderId="5" xfId="4" applyFont="1" applyFill="1" applyBorder="1" applyAlignment="1" applyProtection="1">
      <alignment horizontal="center" vertical="center" wrapText="1"/>
      <protection hidden="1"/>
    </xf>
    <xf numFmtId="0" fontId="13" fillId="12" borderId="5" xfId="4" applyFont="1" applyFill="1" applyBorder="1" applyAlignment="1" applyProtection="1">
      <alignment horizontal="center" vertical="center" wrapText="1"/>
      <protection hidden="1"/>
    </xf>
    <xf numFmtId="0" fontId="13" fillId="20" borderId="5" xfId="0" applyFont="1" applyFill="1" applyBorder="1" applyAlignment="1" applyProtection="1">
      <alignment horizontal="center" vertical="center" wrapText="1"/>
      <protection hidden="1"/>
    </xf>
    <xf numFmtId="0" fontId="9" fillId="20" borderId="5" xfId="4" applyFont="1" applyFill="1" applyBorder="1" applyAlignment="1" applyProtection="1">
      <alignment horizontal="center" vertical="center" wrapText="1"/>
      <protection hidden="1"/>
    </xf>
    <xf numFmtId="0" fontId="13" fillId="21" borderId="5" xfId="4" applyFont="1" applyFill="1" applyBorder="1" applyAlignment="1" applyProtection="1">
      <alignment horizontal="center" vertical="center" wrapText="1"/>
      <protection hidden="1"/>
    </xf>
    <xf numFmtId="0" fontId="9" fillId="21" borderId="5" xfId="4" applyFont="1" applyFill="1" applyBorder="1" applyAlignment="1" applyProtection="1">
      <alignment horizontal="center" vertical="center" wrapText="1"/>
      <protection hidden="1"/>
    </xf>
    <xf numFmtId="0" fontId="13" fillId="22" borderId="5" xfId="4" applyFont="1" applyFill="1" applyBorder="1" applyAlignment="1" applyProtection="1">
      <alignment horizontal="center" vertical="center" wrapText="1"/>
      <protection hidden="1"/>
    </xf>
    <xf numFmtId="0" fontId="9" fillId="22" borderId="5" xfId="4" applyFont="1" applyFill="1" applyBorder="1" applyAlignment="1" applyProtection="1">
      <alignment horizontal="center" vertical="center" wrapText="1"/>
      <protection hidden="1"/>
    </xf>
    <xf numFmtId="0" fontId="57" fillId="0" borderId="0" xfId="0" applyFont="1" applyAlignment="1" applyProtection="1">
      <alignment horizontal="center" vertical="center"/>
      <protection locked="0" hidden="1"/>
    </xf>
    <xf numFmtId="0" fontId="9" fillId="14" borderId="1" xfId="0" applyFont="1" applyFill="1" applyBorder="1" applyAlignment="1">
      <alignment horizontal="left" vertical="center" wrapText="1"/>
    </xf>
    <xf numFmtId="0" fontId="9" fillId="14" borderId="3" xfId="0" applyFont="1" applyFill="1" applyBorder="1" applyAlignment="1">
      <alignment horizontal="left" vertical="center" wrapText="1"/>
    </xf>
    <xf numFmtId="0" fontId="21" fillId="14" borderId="1" xfId="4" applyFont="1" applyFill="1" applyBorder="1" applyAlignment="1">
      <alignment horizontal="center" vertical="center"/>
    </xf>
    <xf numFmtId="181" fontId="9" fillId="3" borderId="10" xfId="5" applyNumberFormat="1" applyFont="1" applyFill="1" applyBorder="1" applyAlignment="1" applyProtection="1">
      <alignment horizontal="center" vertical="center" wrapText="1"/>
      <protection hidden="1"/>
    </xf>
    <xf numFmtId="6" fontId="43" fillId="3" borderId="5" xfId="2" applyNumberFormat="1" applyFont="1" applyFill="1" applyBorder="1" applyAlignment="1" applyProtection="1">
      <alignment horizontal="center" vertical="center" shrinkToFit="1"/>
    </xf>
    <xf numFmtId="0" fontId="57" fillId="9" borderId="0" xfId="0" applyFont="1" applyFill="1" applyAlignment="1" applyProtection="1">
      <alignment horizontal="center" vertical="center"/>
      <protection locked="0" hidden="1"/>
    </xf>
    <xf numFmtId="176" fontId="28" fillId="0" borderId="0" xfId="2" applyNumberFormat="1" applyFont="1" applyFill="1" applyBorder="1" applyAlignment="1" applyProtection="1">
      <alignment horizontal="center" wrapText="1"/>
      <protection hidden="1"/>
    </xf>
    <xf numFmtId="10" fontId="14" fillId="0" borderId="0" xfId="3" applyNumberFormat="1" applyFont="1" applyFill="1" applyBorder="1" applyAlignment="1" applyProtection="1">
      <alignment horizontal="left" shrinkToFit="1"/>
    </xf>
    <xf numFmtId="174" fontId="27" fillId="14" borderId="0" xfId="0" applyNumberFormat="1" applyFont="1" applyFill="1" applyAlignment="1" applyProtection="1">
      <alignment horizontal="center" vertical="center"/>
      <protection hidden="1"/>
    </xf>
    <xf numFmtId="174" fontId="31" fillId="14" borderId="0" xfId="0" applyNumberFormat="1" applyFont="1" applyFill="1" applyAlignment="1" applyProtection="1">
      <alignment horizontal="center" vertical="center"/>
      <protection hidden="1"/>
    </xf>
    <xf numFmtId="174" fontId="27" fillId="14" borderId="0" xfId="0" applyNumberFormat="1" applyFont="1" applyFill="1" applyAlignment="1" applyProtection="1">
      <alignment vertical="center"/>
      <protection hidden="1"/>
    </xf>
    <xf numFmtId="174" fontId="26" fillId="14" borderId="0" xfId="0" applyNumberFormat="1" applyFont="1" applyFill="1" applyAlignment="1" applyProtection="1">
      <alignment vertical="center"/>
      <protection hidden="1"/>
    </xf>
    <xf numFmtId="174" fontId="12" fillId="3" borderId="5" xfId="2" applyNumberFormat="1" applyFont="1" applyFill="1" applyBorder="1" applyAlignment="1" applyProtection="1">
      <alignment horizontal="center" vertical="center" shrinkToFit="1"/>
      <protection hidden="1"/>
    </xf>
    <xf numFmtId="174" fontId="10" fillId="3" borderId="3" xfId="2" applyNumberFormat="1" applyFont="1" applyFill="1" applyBorder="1" applyAlignment="1" applyProtection="1">
      <alignment horizontal="right" vertical="center" shrinkToFit="1"/>
      <protection hidden="1"/>
    </xf>
    <xf numFmtId="174" fontId="10" fillId="3" borderId="6" xfId="2" applyNumberFormat="1" applyFont="1" applyFill="1" applyBorder="1" applyAlignment="1" applyProtection="1">
      <alignment horizontal="center" vertical="center" shrinkToFit="1"/>
      <protection hidden="1"/>
    </xf>
    <xf numFmtId="174" fontId="12" fillId="17" borderId="5" xfId="2" applyNumberFormat="1" applyFont="1" applyFill="1" applyBorder="1" applyAlignment="1" applyProtection="1">
      <alignment horizontal="center" vertical="center" shrinkToFit="1"/>
      <protection hidden="1"/>
    </xf>
    <xf numFmtId="174" fontId="31" fillId="14" borderId="7" xfId="0" applyNumberFormat="1" applyFont="1" applyFill="1" applyBorder="1" applyAlignment="1" applyProtection="1">
      <alignment horizontal="center" vertical="center"/>
      <protection hidden="1"/>
    </xf>
    <xf numFmtId="174" fontId="32" fillId="14" borderId="5" xfId="0" applyNumberFormat="1" applyFont="1" applyFill="1" applyBorder="1" applyAlignment="1" applyProtection="1">
      <alignment horizontal="left" vertical="center" wrapText="1"/>
      <protection hidden="1"/>
    </xf>
    <xf numFmtId="174" fontId="26" fillId="14" borderId="5" xfId="0" applyNumberFormat="1" applyFont="1" applyFill="1" applyBorder="1" applyAlignment="1" applyProtection="1">
      <alignment vertical="center"/>
      <protection hidden="1"/>
    </xf>
    <xf numFmtId="174" fontId="28" fillId="14" borderId="5" xfId="0" applyNumberFormat="1" applyFont="1" applyFill="1" applyBorder="1" applyAlignment="1" applyProtection="1">
      <alignment vertical="center" wrapText="1"/>
      <protection hidden="1"/>
    </xf>
    <xf numFmtId="174" fontId="12" fillId="14" borderId="5" xfId="4" applyNumberFormat="1" applyFont="1" applyFill="1" applyBorder="1" applyAlignment="1" applyProtection="1">
      <alignment vertical="center"/>
      <protection hidden="1"/>
    </xf>
    <xf numFmtId="174" fontId="28" fillId="14" borderId="5" xfId="0" applyNumberFormat="1" applyFont="1" applyFill="1" applyBorder="1" applyAlignment="1" applyProtection="1">
      <alignment vertical="center"/>
      <protection hidden="1"/>
    </xf>
    <xf numFmtId="174" fontId="28" fillId="0" borderId="5" xfId="0" applyNumberFormat="1" applyFont="1" applyBorder="1" applyAlignment="1" applyProtection="1">
      <alignment vertical="center"/>
      <protection hidden="1"/>
    </xf>
    <xf numFmtId="174" fontId="28" fillId="0" borderId="0" xfId="0" applyNumberFormat="1" applyFont="1" applyAlignment="1" applyProtection="1">
      <alignment vertical="center"/>
      <protection hidden="1"/>
    </xf>
    <xf numFmtId="174" fontId="10" fillId="14" borderId="7" xfId="4" applyNumberFormat="1" applyFont="1" applyFill="1" applyBorder="1" applyAlignment="1" applyProtection="1">
      <alignment horizontal="right" vertical="center"/>
      <protection hidden="1"/>
    </xf>
    <xf numFmtId="0" fontId="28" fillId="0" borderId="5" xfId="0" applyFont="1" applyBorder="1" applyAlignment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left" vertical="center"/>
      <protection hidden="1"/>
    </xf>
    <xf numFmtId="10" fontId="10" fillId="3" borderId="3" xfId="3" applyNumberFormat="1" applyFont="1" applyFill="1" applyBorder="1" applyAlignment="1" applyProtection="1">
      <alignment horizontal="center" vertical="center" shrinkToFit="1"/>
      <protection hidden="1"/>
    </xf>
    <xf numFmtId="0" fontId="26" fillId="9" borderId="0" xfId="0" applyFont="1" applyFill="1" applyAlignment="1" applyProtection="1">
      <alignment horizontal="right" vertical="center" wrapText="1"/>
      <protection locked="0"/>
    </xf>
    <xf numFmtId="0" fontId="35" fillId="0" borderId="0" xfId="2" applyNumberFormat="1" applyFont="1" applyFill="1" applyBorder="1" applyAlignment="1" applyProtection="1">
      <alignment horizontal="left" vertical="center"/>
    </xf>
    <xf numFmtId="165" fontId="8" fillId="14" borderId="3" xfId="2" applyFont="1" applyFill="1" applyBorder="1" applyAlignment="1" applyProtection="1">
      <alignment vertical="center" wrapText="1"/>
    </xf>
    <xf numFmtId="0" fontId="8" fillId="14" borderId="1" xfId="4" applyFont="1" applyFill="1" applyBorder="1" applyAlignment="1">
      <alignment vertical="center"/>
    </xf>
    <xf numFmtId="0" fontId="12" fillId="14" borderId="1" xfId="4" applyFont="1" applyFill="1" applyBorder="1" applyAlignment="1">
      <alignment vertical="center"/>
    </xf>
    <xf numFmtId="0" fontId="10" fillId="14" borderId="6" xfId="4" applyFont="1" applyFill="1" applyBorder="1" applyAlignment="1">
      <alignment vertical="center"/>
    </xf>
    <xf numFmtId="0" fontId="9" fillId="14" borderId="1" xfId="4" applyFont="1" applyFill="1" applyBorder="1" applyAlignment="1">
      <alignment horizontal="center" vertical="center"/>
    </xf>
    <xf numFmtId="14" fontId="12" fillId="2" borderId="5" xfId="4" applyNumberFormat="1" applyFont="1" applyFill="1" applyBorder="1" applyAlignment="1" applyProtection="1">
      <alignment horizontal="center" vertical="center" shrinkToFit="1"/>
      <protection locked="0"/>
    </xf>
    <xf numFmtId="14" fontId="10" fillId="2" borderId="5" xfId="4" applyNumberFormat="1" applyFont="1" applyFill="1" applyBorder="1" applyAlignment="1" applyProtection="1">
      <alignment horizontal="center" vertical="center" shrinkToFit="1"/>
      <protection locked="0"/>
    </xf>
    <xf numFmtId="172" fontId="9" fillId="23" borderId="16" xfId="2" applyNumberFormat="1" applyFont="1" applyFill="1" applyBorder="1" applyAlignment="1" applyProtection="1">
      <alignment horizontal="right" vertical="center" shrinkToFit="1"/>
    </xf>
    <xf numFmtId="172" fontId="9" fillId="3" borderId="5" xfId="2" applyNumberFormat="1" applyFont="1" applyFill="1" applyBorder="1" applyAlignment="1" applyProtection="1">
      <alignment horizontal="right" vertical="center" wrapText="1"/>
    </xf>
    <xf numFmtId="172" fontId="10" fillId="2" borderId="5" xfId="2" applyNumberFormat="1" applyFont="1" applyFill="1" applyBorder="1" applyAlignment="1" applyProtection="1">
      <alignment horizontal="right" vertical="center" shrinkToFit="1"/>
      <protection locked="0"/>
    </xf>
    <xf numFmtId="172" fontId="10" fillId="2" borderId="12" xfId="2" applyNumberFormat="1" applyFont="1" applyFill="1" applyBorder="1" applyAlignment="1" applyProtection="1">
      <alignment horizontal="right" vertical="center" shrinkToFit="1"/>
      <protection locked="0"/>
    </xf>
    <xf numFmtId="0" fontId="9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1" fillId="8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5" borderId="15" xfId="4" applyFont="1" applyFill="1" applyBorder="1" applyAlignment="1" applyProtection="1">
      <alignment horizontal="center" vertical="center" wrapText="1"/>
      <protection locked="0"/>
    </xf>
    <xf numFmtId="0" fontId="13" fillId="5" borderId="15" xfId="4" applyFont="1" applyFill="1" applyBorder="1" applyAlignment="1" applyProtection="1">
      <alignment horizontal="center" vertical="center" wrapText="1"/>
      <protection locked="0"/>
    </xf>
    <xf numFmtId="0" fontId="13" fillId="5" borderId="33" xfId="4" applyFont="1" applyFill="1" applyBorder="1" applyAlignment="1" applyProtection="1">
      <alignment horizontal="center" vertical="center" wrapText="1"/>
      <protection locked="0"/>
    </xf>
    <xf numFmtId="0" fontId="11" fillId="5" borderId="33" xfId="4" applyFont="1" applyFill="1" applyBorder="1" applyAlignment="1" applyProtection="1">
      <alignment horizontal="center" vertical="center" wrapText="1"/>
      <protection locked="0"/>
    </xf>
    <xf numFmtId="14" fontId="11" fillId="5" borderId="15" xfId="4" applyNumberFormat="1" applyFont="1" applyFill="1" applyBorder="1" applyAlignment="1" applyProtection="1">
      <alignment horizontal="center" vertical="center" wrapText="1"/>
      <protection locked="0"/>
    </xf>
    <xf numFmtId="0" fontId="11" fillId="5" borderId="8" xfId="4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3" fillId="13" borderId="24" xfId="4" applyFont="1" applyFill="1" applyBorder="1" applyAlignment="1">
      <alignment horizontal="center" vertical="center"/>
    </xf>
    <xf numFmtId="0" fontId="13" fillId="13" borderId="25" xfId="4" applyFont="1" applyFill="1" applyBorder="1" applyAlignment="1">
      <alignment horizontal="center" vertical="center"/>
    </xf>
    <xf numFmtId="0" fontId="13" fillId="13" borderId="26" xfId="4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3" xfId="4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19" borderId="5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34" fillId="0" borderId="3" xfId="4" applyFont="1" applyBorder="1" applyAlignment="1">
      <alignment horizontal="center" vertical="center" wrapText="1"/>
    </xf>
    <xf numFmtId="0" fontId="1" fillId="0" borderId="6" xfId="4" applyBorder="1" applyAlignment="1">
      <alignment horizontal="center" vertical="center" wrapText="1"/>
    </xf>
    <xf numFmtId="0" fontId="13" fillId="0" borderId="12" xfId="4" applyFont="1" applyBorder="1" applyAlignment="1">
      <alignment vertical="center" wrapText="1"/>
    </xf>
    <xf numFmtId="0" fontId="10" fillId="0" borderId="9" xfId="4" applyFont="1" applyBorder="1" applyAlignment="1">
      <alignment vertical="center" wrapText="1"/>
    </xf>
    <xf numFmtId="0" fontId="25" fillId="2" borderId="17" xfId="4" applyFont="1" applyFill="1" applyBorder="1" applyAlignment="1" applyProtection="1">
      <alignment horizontal="left" vertical="top" wrapText="1"/>
      <protection locked="0"/>
    </xf>
    <xf numFmtId="0" fontId="12" fillId="2" borderId="18" xfId="4" applyFont="1" applyFill="1" applyBorder="1" applyAlignment="1" applyProtection="1">
      <alignment horizontal="left" vertical="top" wrapText="1"/>
      <protection locked="0"/>
    </xf>
    <xf numFmtId="0" fontId="1" fillId="0" borderId="18" xfId="4" applyBorder="1" applyAlignment="1" applyProtection="1">
      <alignment wrapText="1"/>
      <protection locked="0"/>
    </xf>
    <xf numFmtId="0" fontId="1" fillId="0" borderId="11" xfId="4" applyBorder="1" applyAlignment="1">
      <alignment wrapText="1"/>
    </xf>
    <xf numFmtId="0" fontId="12" fillId="2" borderId="14" xfId="4" applyFont="1" applyFill="1" applyBorder="1" applyAlignment="1" applyProtection="1">
      <alignment horizontal="left" vertical="top" wrapText="1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" fillId="0" borderId="4" xfId="4" applyBorder="1" applyAlignment="1" applyProtection="1">
      <alignment wrapText="1"/>
      <protection locked="0"/>
    </xf>
    <xf numFmtId="0" fontId="1" fillId="0" borderId="20" xfId="4" applyBorder="1" applyAlignment="1">
      <alignment wrapText="1"/>
    </xf>
    <xf numFmtId="0" fontId="13" fillId="8" borderId="3" xfId="0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 wrapText="1"/>
      <protection hidden="1"/>
    </xf>
    <xf numFmtId="0" fontId="13" fillId="8" borderId="6" xfId="0" applyFont="1" applyFill="1" applyBorder="1" applyAlignment="1" applyProtection="1">
      <alignment horizontal="center" vertical="center" wrapText="1"/>
      <protection hidden="1"/>
    </xf>
    <xf numFmtId="0" fontId="9" fillId="18" borderId="5" xfId="0" applyFont="1" applyFill="1" applyBorder="1" applyAlignment="1" applyProtection="1">
      <alignment horizontal="center" vertical="center" wrapText="1"/>
      <protection hidden="1"/>
    </xf>
    <xf numFmtId="0" fontId="27" fillId="3" borderId="3" xfId="0" applyFont="1" applyFill="1" applyBorder="1" applyAlignment="1" applyProtection="1">
      <alignment horizontal="right" vertical="center" wrapText="1"/>
      <protection hidden="1"/>
    </xf>
    <xf numFmtId="0" fontId="2" fillId="0" borderId="6" xfId="0" applyFont="1" applyBorder="1" applyAlignment="1" applyProtection="1">
      <alignment horizontal="right" vertical="center" wrapText="1"/>
      <protection hidden="1"/>
    </xf>
    <xf numFmtId="0" fontId="28" fillId="3" borderId="3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9" fillId="3" borderId="5" xfId="0" applyFont="1" applyFill="1" applyBorder="1" applyAlignment="1" applyProtection="1">
      <alignment horizontal="right" vertical="center" wrapText="1"/>
      <protection hidden="1"/>
    </xf>
    <xf numFmtId="0" fontId="9" fillId="3" borderId="3" xfId="0" applyFont="1" applyFill="1" applyBorder="1" applyAlignment="1" applyProtection="1">
      <alignment horizontal="right" vertical="center" wrapText="1"/>
      <protection hidden="1"/>
    </xf>
    <xf numFmtId="49" fontId="37" fillId="0" borderId="0" xfId="2" applyNumberFormat="1" applyFont="1" applyAlignment="1">
      <alignment horizontal="left" vertical="center" wrapText="1"/>
    </xf>
    <xf numFmtId="0" fontId="1" fillId="0" borderId="0" xfId="4" applyAlignment="1">
      <alignment horizontal="left" vertical="center" wrapText="1"/>
    </xf>
    <xf numFmtId="0" fontId="9" fillId="0" borderId="1" xfId="4" applyFont="1" applyBorder="1" applyAlignment="1" applyProtection="1">
      <alignment horizontal="right" vertical="center" wrapText="1"/>
      <protection hidden="1"/>
    </xf>
    <xf numFmtId="0" fontId="54" fillId="17" borderId="32" xfId="2" applyNumberFormat="1" applyFont="1" applyFill="1" applyBorder="1" applyAlignment="1" applyProtection="1">
      <alignment horizontal="center" vertical="center" wrapText="1"/>
      <protection hidden="1"/>
    </xf>
    <xf numFmtId="0" fontId="13" fillId="10" borderId="3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horizontal="center" vertical="center" wrapText="1"/>
    </xf>
    <xf numFmtId="0" fontId="28" fillId="3" borderId="1" xfId="0" applyFont="1" applyFill="1" applyBorder="1" applyAlignment="1" applyProtection="1">
      <alignment horizontal="left" vertical="center" wrapText="1"/>
      <protection hidden="1"/>
    </xf>
    <xf numFmtId="0" fontId="28" fillId="3" borderId="6" xfId="0" applyFont="1" applyFill="1" applyBorder="1" applyAlignment="1" applyProtection="1">
      <alignment horizontal="left" vertical="center" wrapText="1"/>
      <protection hidden="1"/>
    </xf>
    <xf numFmtId="0" fontId="13" fillId="12" borderId="3" xfId="4" applyFont="1" applyFill="1" applyBorder="1" applyAlignment="1" applyProtection="1">
      <alignment horizontal="center" vertical="center" wrapText="1"/>
      <protection hidden="1"/>
    </xf>
    <xf numFmtId="0" fontId="13" fillId="12" borderId="1" xfId="4" applyFont="1" applyFill="1" applyBorder="1" applyAlignment="1" applyProtection="1">
      <alignment horizontal="center" vertical="center" wrapText="1"/>
      <protection hidden="1"/>
    </xf>
    <xf numFmtId="0" fontId="13" fillId="12" borderId="6" xfId="4" applyFont="1" applyFill="1" applyBorder="1" applyAlignment="1" applyProtection="1">
      <alignment horizontal="center" vertical="center" wrapText="1"/>
      <protection hidden="1"/>
    </xf>
    <xf numFmtId="0" fontId="13" fillId="11" borderId="3" xfId="0" applyFont="1" applyFill="1" applyBorder="1" applyAlignment="1" applyProtection="1">
      <alignment horizontal="center" vertical="center" wrapText="1"/>
      <protection hidden="1"/>
    </xf>
    <xf numFmtId="0" fontId="13" fillId="11" borderId="1" xfId="0" applyFont="1" applyFill="1" applyBorder="1" applyAlignment="1" applyProtection="1">
      <alignment horizontal="center" vertical="center" wrapText="1"/>
      <protection hidden="1"/>
    </xf>
    <xf numFmtId="0" fontId="13" fillId="11" borderId="6" xfId="0" applyFont="1" applyFill="1" applyBorder="1" applyAlignment="1" applyProtection="1">
      <alignment horizontal="center" vertical="center" wrapText="1"/>
      <protection hidden="1"/>
    </xf>
    <xf numFmtId="0" fontId="21" fillId="8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1" fillId="5" borderId="1" xfId="4" applyFont="1" applyFill="1" applyBorder="1" applyAlignment="1" applyProtection="1">
      <alignment horizontal="center" vertical="center" wrapText="1"/>
      <protection locked="0"/>
    </xf>
    <xf numFmtId="0" fontId="13" fillId="5" borderId="1" xfId="4" applyFont="1" applyFill="1" applyBorder="1" applyAlignment="1" applyProtection="1">
      <alignment horizontal="center" vertical="center" wrapText="1"/>
      <protection locked="0"/>
    </xf>
    <xf numFmtId="0" fontId="13" fillId="5" borderId="6" xfId="4" applyFont="1" applyFill="1" applyBorder="1" applyAlignment="1" applyProtection="1">
      <alignment horizontal="center" vertical="center" wrapText="1"/>
      <protection locked="0"/>
    </xf>
    <xf numFmtId="14" fontId="11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5" borderId="6" xfId="4" applyFont="1" applyFill="1" applyBorder="1" applyAlignment="1" applyProtection="1">
      <alignment horizontal="center" vertical="center" wrapText="1"/>
      <protection locked="0"/>
    </xf>
    <xf numFmtId="0" fontId="9" fillId="14" borderId="3" xfId="4" applyFont="1" applyFill="1" applyBorder="1" applyAlignment="1">
      <alignment horizontal="left" vertical="center" wrapText="1"/>
    </xf>
    <xf numFmtId="0" fontId="9" fillId="14" borderId="1" xfId="4" applyFont="1" applyFill="1" applyBorder="1" applyAlignment="1">
      <alignment horizontal="left" vertical="center" wrapText="1"/>
    </xf>
    <xf numFmtId="0" fontId="9" fillId="0" borderId="6" xfId="4" applyFont="1" applyBorder="1" applyAlignment="1">
      <alignment horizontal="right" vertical="center" wrapText="1"/>
    </xf>
    <xf numFmtId="0" fontId="13" fillId="7" borderId="3" xfId="4" applyFont="1" applyFill="1" applyBorder="1" applyAlignment="1">
      <alignment horizontal="center" vertical="center"/>
    </xf>
    <xf numFmtId="0" fontId="9" fillId="7" borderId="6" xfId="4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43" fillId="13" borderId="24" xfId="4" applyFont="1" applyFill="1" applyBorder="1" applyAlignment="1">
      <alignment horizontal="center"/>
    </xf>
    <xf numFmtId="0" fontId="43" fillId="13" borderId="25" xfId="4" applyFont="1" applyFill="1" applyBorder="1" applyAlignment="1">
      <alignment horizontal="center"/>
    </xf>
    <xf numFmtId="0" fontId="43" fillId="13" borderId="26" xfId="4" applyFont="1" applyFill="1" applyBorder="1" applyAlignment="1">
      <alignment horizontal="center"/>
    </xf>
    <xf numFmtId="0" fontId="13" fillId="10" borderId="5" xfId="0" applyFont="1" applyFill="1" applyBorder="1" applyAlignment="1" applyProtection="1">
      <alignment horizontal="center" vertical="center" wrapText="1"/>
      <protection hidden="1"/>
    </xf>
    <xf numFmtId="0" fontId="5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7" fillId="3" borderId="5" xfId="0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8" fillId="3" borderId="5" xfId="0" applyFont="1" applyFill="1" applyBorder="1" applyAlignment="1" applyProtection="1">
      <alignment horizontal="left" vertical="center" wrapText="1"/>
      <protection hidden="1"/>
    </xf>
    <xf numFmtId="0" fontId="13" fillId="0" borderId="30" xfId="4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5" fillId="2" borderId="18" xfId="4" applyFon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43" fillId="6" borderId="0" xfId="0" applyFont="1" applyFill="1" applyAlignment="1" applyProtection="1">
      <alignment horizontal="left" vertical="center"/>
      <protection hidden="1"/>
    </xf>
    <xf numFmtId="0" fontId="13" fillId="8" borderId="5" xfId="0" applyFont="1" applyFill="1" applyBorder="1" applyAlignment="1" applyProtection="1">
      <alignment horizontal="center" vertical="center" wrapText="1"/>
      <protection hidden="1"/>
    </xf>
  </cellXfs>
  <cellStyles count="7">
    <cellStyle name="Milliers [0]" xfId="1" builtinId="6"/>
    <cellStyle name="Monétaire [0]" xfId="2" builtinId="7"/>
    <cellStyle name="Monétaire 2" xfId="5" xr:uid="{84D04B93-411A-4C2C-8F48-119ABFDCAC65}"/>
    <cellStyle name="Monétaire 3" xfId="6" xr:uid="{28CA1507-ACF2-48A2-A328-A01B94897912}"/>
    <cellStyle name="Normal" xfId="0" builtinId="0"/>
    <cellStyle name="Normal 2" xfId="4" xr:uid="{EE046D95-4259-4A10-9DEF-5D9B78A2DBDD}"/>
    <cellStyle name="Pourcentage" xfId="3" builtinId="5"/>
  </cellStyles>
  <dxfs count="20">
    <dxf>
      <font>
        <color rgb="FF9C0006"/>
      </font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1F497D"/>
      <color rgb="FFF79646"/>
      <color rgb="FFFDE9D9"/>
      <color rgb="FFFCD5B4"/>
      <color rgb="FFE1EB81"/>
      <color rgb="FFD9D9D9"/>
      <color rgb="FFBFBFBF"/>
      <color rgb="FFFABF8F"/>
      <color rgb="FFF4750C"/>
      <color rgb="FFF8A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20" dropStyle="combo" dx="16" fmlaLink="$A$68" fmlaRange="$B$69:$B$88" sel="20" val="0"/>
</file>

<file path=xl/ctrlProps/ctrlProp2.xml><?xml version="1.0" encoding="utf-8"?>
<formControlPr xmlns="http://schemas.microsoft.com/office/spreadsheetml/2009/9/main" objectType="Drop" dropLines="4" dropStyle="combo" dx="16" fmlaLink="$L$68" fmlaRange="$L$69:$L$72" sel="4" val="0"/>
</file>

<file path=xl/ctrlProps/ctrlProp3.xml><?xml version="1.0" encoding="utf-8"?>
<formControlPr xmlns="http://schemas.microsoft.com/office/spreadsheetml/2009/9/main" objectType="Drop" dropLines="3" dropStyle="combo" dx="16" fmlaLink="$L$68" fmlaRange="$L$81:$L$83" sel="3" val="0"/>
</file>

<file path=xl/ctrlProps/ctrlProp4.xml><?xml version="1.0" encoding="utf-8"?>
<formControlPr xmlns="http://schemas.microsoft.com/office/spreadsheetml/2009/9/main" objectType="Drop" dropLines="18" dropStyle="combo" dx="16" fmlaLink="$A$68" fmlaRange="$B$68:$B$85" sel="18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266700</xdr:rowOff>
        </xdr:from>
        <xdr:to>
          <xdr:col>5</xdr:col>
          <xdr:colOff>619125</xdr:colOff>
          <xdr:row>5</xdr:row>
          <xdr:rowOff>47625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104814</xdr:colOff>
      <xdr:row>0</xdr:row>
      <xdr:rowOff>47664</xdr:rowOff>
    </xdr:from>
    <xdr:ext cx="735429" cy="757429"/>
    <xdr:pic>
      <xdr:nvPicPr>
        <xdr:cNvPr id="2" name="Image 1">
          <a:extLst>
            <a:ext uri="{FF2B5EF4-FFF2-40B4-BE49-F238E27FC236}">
              <a16:creationId xmlns:a16="http://schemas.microsoft.com/office/drawing/2014/main" id="{B0EFE292-8482-4B49-A0E8-56EE3676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14" y="47664"/>
          <a:ext cx="735429" cy="75742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11</xdr:row>
          <xdr:rowOff>38100</xdr:rowOff>
        </xdr:from>
        <xdr:to>
          <xdr:col>3</xdr:col>
          <xdr:colOff>914400</xdr:colOff>
          <xdr:row>11</xdr:row>
          <xdr:rowOff>342900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266700</xdr:rowOff>
        </xdr:from>
        <xdr:to>
          <xdr:col>5</xdr:col>
          <xdr:colOff>771525</xdr:colOff>
          <xdr:row>5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95289</xdr:colOff>
      <xdr:row>0</xdr:row>
      <xdr:rowOff>57189</xdr:rowOff>
    </xdr:from>
    <xdr:ext cx="735429" cy="757429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89" y="57189"/>
          <a:ext cx="735429" cy="75742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11</xdr:row>
          <xdr:rowOff>38100</xdr:rowOff>
        </xdr:from>
        <xdr:to>
          <xdr:col>3</xdr:col>
          <xdr:colOff>1066800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AF98-6F8A-4939-8269-BACFB934A69B}">
  <sheetPr>
    <tabColor rgb="FFFF0000"/>
  </sheetPr>
  <dimension ref="A1:AQ242"/>
  <sheetViews>
    <sheetView tabSelected="1" zoomScaleNormal="100" zoomScaleSheetLayoutView="100" workbookViewId="0">
      <selection activeCell="B2" sqref="B2:E2"/>
    </sheetView>
  </sheetViews>
  <sheetFormatPr baseColWidth="10" defaultColWidth="8.88671875" defaultRowHeight="12.75" x14ac:dyDescent="0.2"/>
  <cols>
    <col min="1" max="1" width="10.5546875" style="13" customWidth="1"/>
    <col min="2" max="2" width="16.5546875" style="14" customWidth="1"/>
    <col min="3" max="14" width="13.77734375" style="13" customWidth="1"/>
    <col min="15" max="21" width="11.6640625" style="13" hidden="1" customWidth="1"/>
    <col min="22" max="22" width="0" style="13" hidden="1" customWidth="1"/>
    <col min="23" max="43" width="8.88671875" style="13"/>
    <col min="44" max="16384" width="8.88671875" style="66"/>
  </cols>
  <sheetData>
    <row r="1" spans="1:38" s="119" customFormat="1" ht="71.45" customHeight="1" thickBot="1" x14ac:dyDescent="0.3">
      <c r="A1" s="116"/>
      <c r="B1" s="117"/>
      <c r="C1" s="393" t="s">
        <v>187</v>
      </c>
      <c r="D1" s="393"/>
      <c r="E1" s="393"/>
      <c r="F1" s="393"/>
      <c r="G1" s="393"/>
      <c r="H1" s="393"/>
      <c r="I1" s="393"/>
      <c r="J1" s="393"/>
      <c r="K1" s="394"/>
      <c r="L1" s="394"/>
      <c r="M1" s="118"/>
      <c r="N1" s="118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</row>
    <row r="2" spans="1:38" s="20" customFormat="1" ht="32.1" customHeight="1" thickBot="1" x14ac:dyDescent="0.25">
      <c r="A2" s="3" t="s">
        <v>0</v>
      </c>
      <c r="B2" s="395"/>
      <c r="C2" s="396"/>
      <c r="D2" s="396"/>
      <c r="E2" s="397"/>
      <c r="F2" s="3" t="s">
        <v>1</v>
      </c>
      <c r="G2" s="395"/>
      <c r="H2" s="398"/>
      <c r="I2" s="279"/>
      <c r="J2" s="280" t="s">
        <v>76</v>
      </c>
      <c r="K2" s="399"/>
      <c r="L2" s="400"/>
      <c r="M2" s="15"/>
    </row>
    <row r="3" spans="1:38" s="20" customFormat="1" ht="24" customHeight="1" x14ac:dyDescent="0.2">
      <c r="A3" s="57" t="s">
        <v>77</v>
      </c>
      <c r="B3" s="17"/>
      <c r="C3" s="54"/>
      <c r="D3" s="37"/>
      <c r="G3" s="56"/>
      <c r="K3" s="27"/>
      <c r="L3" s="27"/>
      <c r="M3" s="15"/>
    </row>
    <row r="4" spans="1:38" s="13" customFormat="1" ht="17.100000000000001" customHeight="1" x14ac:dyDescent="0.2">
      <c r="A4" s="52"/>
      <c r="B4" s="52"/>
      <c r="C4" s="52"/>
      <c r="G4" s="55"/>
      <c r="H4" s="55"/>
      <c r="I4" s="55"/>
      <c r="J4" s="55"/>
      <c r="K4" s="55"/>
      <c r="L4" s="55"/>
      <c r="M4" s="54"/>
    </row>
    <row r="5" spans="1:38" s="13" customFormat="1" ht="24" customHeight="1" x14ac:dyDescent="0.2">
      <c r="A5" s="401" t="s">
        <v>13</v>
      </c>
      <c r="B5" s="402"/>
      <c r="C5" s="16"/>
      <c r="D5" s="46"/>
      <c r="E5" s="46"/>
      <c r="G5" s="55"/>
      <c r="H5" s="55"/>
      <c r="I5" s="55"/>
      <c r="J5" s="55"/>
      <c r="K5" s="55"/>
      <c r="L5" s="55"/>
      <c r="M5" s="54"/>
    </row>
    <row r="6" spans="1:38" s="13" customFormat="1" ht="17.100000000000001" customHeight="1" x14ac:dyDescent="0.2">
      <c r="A6" s="16"/>
      <c r="B6" s="16"/>
      <c r="C6" s="16"/>
      <c r="D6" s="48"/>
      <c r="E6" s="48"/>
      <c r="F6" s="50"/>
      <c r="G6" s="16"/>
      <c r="H6" s="16"/>
      <c r="I6" s="16"/>
      <c r="J6" s="48"/>
      <c r="K6" s="48"/>
      <c r="L6" s="50"/>
      <c r="M6" s="16"/>
    </row>
    <row r="7" spans="1:38" s="13" customFormat="1" ht="30" customHeight="1" x14ac:dyDescent="0.2">
      <c r="A7" s="53"/>
      <c r="B7" s="53" t="s">
        <v>36</v>
      </c>
      <c r="C7" s="391" t="s">
        <v>2</v>
      </c>
      <c r="D7" s="392"/>
      <c r="E7" s="281"/>
      <c r="F7" s="52" t="s">
        <v>3</v>
      </c>
      <c r="G7" s="7"/>
      <c r="I7" s="105" t="s">
        <v>4</v>
      </c>
      <c r="J7" s="7"/>
      <c r="K7" s="52" t="s">
        <v>5</v>
      </c>
      <c r="L7" s="120">
        <f>(G7*J7)/60</f>
        <v>0</v>
      </c>
      <c r="M7" s="51"/>
    </row>
    <row r="8" spans="1:38" s="16" customFormat="1" ht="30" customHeight="1" x14ac:dyDescent="0.2">
      <c r="D8" s="48"/>
      <c r="E8" s="48"/>
      <c r="F8" s="50"/>
      <c r="K8" s="49" t="s">
        <v>6</v>
      </c>
      <c r="L8" s="278">
        <f>IF(L7=0,0,$E$7/$L$7)</f>
        <v>0</v>
      </c>
    </row>
    <row r="9" spans="1:38" s="16" customFormat="1" ht="30" customHeight="1" x14ac:dyDescent="0.2">
      <c r="C9" s="406" t="s">
        <v>7</v>
      </c>
      <c r="D9" s="407"/>
      <c r="E9" s="12"/>
      <c r="F9" s="4">
        <f>IF(E9="Yes",60%,49%)</f>
        <v>0.49</v>
      </c>
      <c r="G9" s="47"/>
      <c r="H9" s="47"/>
      <c r="I9" s="47"/>
      <c r="J9" s="47"/>
      <c r="K9" s="47"/>
      <c r="L9" s="47"/>
    </row>
    <row r="10" spans="1:38" s="16" customFormat="1" ht="32.25" hidden="1" customHeight="1" x14ac:dyDescent="0.2">
      <c r="D10" s="48"/>
      <c r="E10" s="48"/>
      <c r="F10" s="50"/>
      <c r="K10" s="49"/>
      <c r="L10" s="49"/>
    </row>
    <row r="11" spans="1:38" s="16" customFormat="1" ht="30" customHeight="1" x14ac:dyDescent="0.2">
      <c r="C11" s="391" t="s">
        <v>9</v>
      </c>
      <c r="D11" s="392"/>
      <c r="E11" s="12"/>
      <c r="F11" s="47"/>
      <c r="G11" s="47"/>
      <c r="H11" s="47"/>
      <c r="I11" s="47"/>
      <c r="J11" s="401" t="s">
        <v>11</v>
      </c>
      <c r="K11" s="402"/>
      <c r="L11" s="126" t="str">
        <f>IF(OR(A68=20,N(E$7)=0,L$8=0),"",IF(AND(AND(A$68&gt;9,A$68&lt;18),L8&gt;=800000),"Yes",IF(AND(OR(A$68=1,A$68=2,A$68=8,A$68=9),L8&gt;=750000),"Yes",IF(AND(AND(A$68&gt;4,A$68&lt;8),L8&gt;=400000),"Yes","No"))))</f>
        <v/>
      </c>
      <c r="M11" s="127" t="str">
        <f>IFERROR(IF(L11="Yes","N/A to animated productions",""),"")</f>
        <v/>
      </c>
    </row>
    <row r="12" spans="1:38" s="16" customFormat="1" ht="30" customHeight="1" x14ac:dyDescent="0.2">
      <c r="C12" s="2"/>
      <c r="D12" s="2"/>
      <c r="E12" s="281"/>
      <c r="F12" s="47"/>
      <c r="G12" s="47"/>
      <c r="H12" s="47"/>
      <c r="I12" s="47"/>
      <c r="J12" s="401" t="s">
        <v>12</v>
      </c>
      <c r="K12" s="402"/>
      <c r="L12" s="8" t="str">
        <f>IF(N(E$7)=0,"",IF(E$7&gt;500000,"Yes","No"))</f>
        <v/>
      </c>
      <c r="M12" s="127" t="str">
        <f>IFERROR(IF(L12="Yes","N/A to live-to-air productions",""),"")</f>
        <v/>
      </c>
    </row>
    <row r="13" spans="1:38" s="16" customFormat="1" ht="48" customHeight="1" x14ac:dyDescent="0.2">
      <c r="A13" s="408" t="str">
        <f>IF(L$68=2,"Are the AMI Applicant’s development and production projects that received CMF funding mainly and predominantly in the English language?","")</f>
        <v/>
      </c>
      <c r="B13" s="408"/>
      <c r="C13" s="408"/>
      <c r="D13" s="408"/>
      <c r="E13" s="12"/>
      <c r="F13" s="48"/>
      <c r="G13" s="47"/>
      <c r="H13" s="47"/>
      <c r="I13" s="47"/>
      <c r="J13" s="47"/>
      <c r="K13" s="47"/>
      <c r="L13" s="47"/>
    </row>
    <row r="14" spans="1:38" s="85" customFormat="1" ht="30" customHeight="1" x14ac:dyDescent="0.2">
      <c r="B14" s="86"/>
      <c r="C14" s="409" t="s">
        <v>184</v>
      </c>
      <c r="D14" s="410"/>
      <c r="E14" s="7"/>
      <c r="F14" s="87"/>
      <c r="G14"/>
      <c r="H14"/>
      <c r="I14"/>
      <c r="J14"/>
      <c r="K14" s="88"/>
      <c r="L14" s="87"/>
      <c r="M14" s="87"/>
    </row>
    <row r="15" spans="1:38" s="85" customFormat="1" ht="30" customHeight="1" x14ac:dyDescent="0.2">
      <c r="B15" s="86"/>
      <c r="C15" s="409" t="s">
        <v>185</v>
      </c>
      <c r="D15" s="410"/>
      <c r="E15" s="283">
        <f>IF(E14="Yes",C30-E16,0)</f>
        <v>0</v>
      </c>
      <c r="F15" s="87"/>
      <c r="I15" s="89"/>
      <c r="J15" s="87"/>
      <c r="K15" s="87"/>
      <c r="L15" s="87"/>
      <c r="M15" s="87"/>
    </row>
    <row r="16" spans="1:38" s="89" customFormat="1" ht="30" customHeight="1" x14ac:dyDescent="0.2">
      <c r="B16" s="86"/>
      <c r="C16" s="411" t="s">
        <v>186</v>
      </c>
      <c r="D16" s="412"/>
      <c r="E16" s="281"/>
      <c r="F16" s="87"/>
      <c r="J16" s="84"/>
      <c r="K16" s="88"/>
      <c r="L16" s="84"/>
      <c r="M16" s="84"/>
    </row>
    <row r="17" spans="1:12" s="85" customFormat="1" ht="15" hidden="1" x14ac:dyDescent="0.2">
      <c r="A17" s="90"/>
      <c r="B17" s="91"/>
      <c r="C17" s="91"/>
      <c r="D17" s="91"/>
      <c r="F17" s="92"/>
      <c r="G17" s="92"/>
      <c r="H17" s="92"/>
      <c r="I17" s="89"/>
      <c r="J17" s="87"/>
      <c r="K17" s="87"/>
      <c r="L17" s="87"/>
    </row>
    <row r="18" spans="1:12" s="85" customFormat="1" ht="17.100000000000001" customHeight="1" x14ac:dyDescent="0.2">
      <c r="A18" s="77"/>
      <c r="B18" s="91"/>
      <c r="C18" s="91"/>
      <c r="D18" s="91"/>
      <c r="F18" s="92"/>
      <c r="G18" s="92"/>
      <c r="H18" s="92"/>
      <c r="I18" s="89"/>
      <c r="J18" s="87"/>
      <c r="K18" s="87"/>
      <c r="L18" s="87"/>
    </row>
    <row r="19" spans="1:12" s="16" customFormat="1" ht="17.100000000000001" customHeight="1" x14ac:dyDescent="0.2">
      <c r="A19" s="376" t="s">
        <v>242</v>
      </c>
      <c r="B19" s="28"/>
      <c r="C19" s="35"/>
      <c r="E19" s="15"/>
      <c r="F19" s="15"/>
      <c r="G19" s="34"/>
      <c r="J19" s="15"/>
    </row>
    <row r="20" spans="1:12" s="16" customFormat="1" ht="17.100000000000001" customHeight="1" x14ac:dyDescent="0.2">
      <c r="A20" s="288" t="s">
        <v>14</v>
      </c>
      <c r="B20" s="28"/>
      <c r="C20" s="35"/>
      <c r="E20" s="15"/>
      <c r="F20" s="15"/>
      <c r="G20" s="34"/>
      <c r="J20" s="15"/>
    </row>
    <row r="21" spans="1:12" s="16" customFormat="1" ht="17.100000000000001" customHeight="1" x14ac:dyDescent="0.2">
      <c r="A21" s="289" t="s">
        <v>15</v>
      </c>
      <c r="D21" s="28"/>
      <c r="E21" s="45"/>
      <c r="F21" s="45"/>
      <c r="G21" s="44"/>
      <c r="H21" s="380"/>
      <c r="I21" s="381"/>
      <c r="J21" s="352" t="s">
        <v>16</v>
      </c>
      <c r="K21" s="382"/>
      <c r="L21" s="383"/>
    </row>
    <row r="22" spans="1:12" s="16" customFormat="1" ht="92.25" customHeight="1" x14ac:dyDescent="0.2">
      <c r="A22" s="413" t="s">
        <v>246</v>
      </c>
      <c r="B22" s="414"/>
      <c r="C22" s="10" t="s">
        <v>196</v>
      </c>
      <c r="D22" s="286" t="s">
        <v>233</v>
      </c>
      <c r="E22" s="95" t="s">
        <v>197</v>
      </c>
      <c r="F22" s="95" t="s">
        <v>17</v>
      </c>
      <c r="G22" s="95" t="s">
        <v>231</v>
      </c>
      <c r="H22" s="287" t="s">
        <v>18</v>
      </c>
      <c r="I22" s="287" t="s">
        <v>19</v>
      </c>
      <c r="J22" s="287" t="s">
        <v>20</v>
      </c>
      <c r="K22" s="287" t="s">
        <v>198</v>
      </c>
      <c r="L22" s="287" t="s">
        <v>21</v>
      </c>
    </row>
    <row r="23" spans="1:12" s="16" customFormat="1" ht="18" customHeight="1" x14ac:dyDescent="0.2">
      <c r="A23" s="93"/>
      <c r="B23" s="94" t="s">
        <v>191</v>
      </c>
      <c r="C23" s="388">
        <f>$E$16</f>
        <v>0</v>
      </c>
      <c r="D23" s="96"/>
      <c r="E23" s="97"/>
      <c r="F23" s="79"/>
      <c r="G23" s="79"/>
      <c r="H23" s="97"/>
      <c r="I23" s="97"/>
      <c r="J23" s="98"/>
      <c r="K23" s="98"/>
      <c r="L23" s="99"/>
    </row>
    <row r="24" spans="1:12" s="16" customFormat="1" ht="18" customHeight="1" x14ac:dyDescent="0.2">
      <c r="A24" s="21" t="s">
        <v>105</v>
      </c>
      <c r="B24" s="9"/>
      <c r="C24" s="62"/>
      <c r="D24" s="62"/>
      <c r="E24" s="61"/>
      <c r="F24" s="61"/>
      <c r="G24" s="61"/>
      <c r="H24" s="385"/>
      <c r="I24" s="316">
        <f t="shared" ref="I24:I29" si="0">DATE(YEAR(H24),(MONTH(H24)+J24),DAY(H24))</f>
        <v>0</v>
      </c>
      <c r="J24" s="41"/>
      <c r="K24" s="41"/>
      <c r="L24" s="41"/>
    </row>
    <row r="25" spans="1:12" s="16" customFormat="1" ht="18" customHeight="1" x14ac:dyDescent="0.2">
      <c r="A25" s="21" t="s">
        <v>106</v>
      </c>
      <c r="B25" s="9"/>
      <c r="C25" s="62"/>
      <c r="D25" s="74"/>
      <c r="E25" s="74"/>
      <c r="F25" s="74"/>
      <c r="G25" s="74"/>
      <c r="H25" s="385"/>
      <c r="I25" s="316">
        <f t="shared" si="0"/>
        <v>0</v>
      </c>
      <c r="J25" s="41"/>
      <c r="K25" s="41"/>
      <c r="L25" s="41"/>
    </row>
    <row r="26" spans="1:12" s="16" customFormat="1" ht="18" customHeight="1" x14ac:dyDescent="0.2">
      <c r="A26" s="21" t="s">
        <v>107</v>
      </c>
      <c r="B26" s="9"/>
      <c r="C26" s="62"/>
      <c r="D26" s="74"/>
      <c r="E26" s="74"/>
      <c r="F26" s="74"/>
      <c r="G26" s="74"/>
      <c r="H26" s="385"/>
      <c r="I26" s="316">
        <f t="shared" si="0"/>
        <v>0</v>
      </c>
      <c r="J26" s="41"/>
      <c r="K26" s="41"/>
      <c r="L26" s="41"/>
    </row>
    <row r="27" spans="1:12" s="16" customFormat="1" ht="18" customHeight="1" x14ac:dyDescent="0.2">
      <c r="A27" s="21" t="s">
        <v>108</v>
      </c>
      <c r="B27" s="9"/>
      <c r="C27" s="389"/>
      <c r="D27" s="74"/>
      <c r="E27" s="74"/>
      <c r="F27" s="74"/>
      <c r="G27" s="74"/>
      <c r="H27" s="386"/>
      <c r="I27" s="316">
        <f t="shared" si="0"/>
        <v>0</v>
      </c>
      <c r="J27" s="41"/>
      <c r="K27" s="41"/>
      <c r="L27" s="41"/>
    </row>
    <row r="28" spans="1:12" s="16" customFormat="1" ht="18" customHeight="1" x14ac:dyDescent="0.2">
      <c r="A28" s="21" t="s">
        <v>109</v>
      </c>
      <c r="B28" s="9"/>
      <c r="C28" s="389"/>
      <c r="D28" s="74"/>
      <c r="E28" s="74"/>
      <c r="F28" s="74"/>
      <c r="G28" s="74"/>
      <c r="H28" s="386"/>
      <c r="I28" s="316">
        <f t="shared" si="0"/>
        <v>0</v>
      </c>
      <c r="J28" s="41"/>
      <c r="K28" s="41"/>
      <c r="L28" s="317"/>
    </row>
    <row r="29" spans="1:12" s="16" customFormat="1" ht="18" customHeight="1" thickBot="1" x14ac:dyDescent="0.25">
      <c r="A29" s="19" t="s">
        <v>110</v>
      </c>
      <c r="B29" s="9"/>
      <c r="C29" s="390"/>
      <c r="D29" s="74"/>
      <c r="E29" s="74"/>
      <c r="F29" s="74"/>
      <c r="G29" s="74"/>
      <c r="H29" s="386"/>
      <c r="I29" s="316">
        <f t="shared" si="0"/>
        <v>0</v>
      </c>
      <c r="J29" s="41"/>
      <c r="K29" s="41"/>
      <c r="L29" s="317"/>
    </row>
    <row r="30" spans="1:12" s="16" customFormat="1" ht="24.95" customHeight="1" thickBot="1" x14ac:dyDescent="0.25">
      <c r="A30" s="39"/>
      <c r="B30" s="38" t="s">
        <v>111</v>
      </c>
      <c r="C30" s="387">
        <f>SUM(C23:C29)</f>
        <v>0</v>
      </c>
      <c r="D30" s="387">
        <f>SUM(D24:D29)</f>
        <v>0</v>
      </c>
      <c r="E30" s="387">
        <f>SUM(E24:E29)</f>
        <v>0</v>
      </c>
      <c r="F30" s="387">
        <f>SUM(F24:F29)</f>
        <v>0</v>
      </c>
      <c r="G30" s="387">
        <f>SUM(G24:G29)</f>
        <v>0</v>
      </c>
      <c r="K30" s="26"/>
      <c r="L30" s="26"/>
    </row>
    <row r="31" spans="1:12" s="37" customFormat="1" ht="18.75" customHeight="1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customFormat="1" ht="15" hidden="1" x14ac:dyDescent="0.2"/>
    <row r="33" spans="1:19" customFormat="1" ht="15" hidden="1" x14ac:dyDescent="0.2">
      <c r="A33" s="36"/>
      <c r="B33" s="28"/>
      <c r="C33" s="35"/>
      <c r="D33" s="16"/>
      <c r="E33" s="15"/>
      <c r="F33" s="15"/>
      <c r="G33" s="34"/>
      <c r="H33" s="16"/>
      <c r="I33" s="16"/>
      <c r="J33" s="15"/>
      <c r="K33" s="16"/>
      <c r="L33" s="16"/>
    </row>
    <row r="34" spans="1:19" s="16" customFormat="1" ht="24" customHeight="1" x14ac:dyDescent="0.2">
      <c r="A34" s="415" t="s">
        <v>28</v>
      </c>
      <c r="B34" s="417"/>
      <c r="C34" s="418"/>
      <c r="D34" s="418"/>
      <c r="E34" s="418"/>
      <c r="F34" s="418"/>
      <c r="G34" s="418"/>
      <c r="H34" s="418"/>
      <c r="I34" s="418"/>
      <c r="J34" s="418"/>
      <c r="K34" s="418"/>
      <c r="L34" s="419"/>
      <c r="M34" s="420"/>
      <c r="N34" s="15"/>
      <c r="O34" s="15"/>
      <c r="P34" s="15"/>
      <c r="Q34" s="15"/>
      <c r="R34" s="15"/>
    </row>
    <row r="35" spans="1:19" s="16" customFormat="1" ht="24" customHeight="1" x14ac:dyDescent="0.2">
      <c r="A35" s="416"/>
      <c r="B35" s="421"/>
      <c r="C35" s="422"/>
      <c r="D35" s="422"/>
      <c r="E35" s="422"/>
      <c r="F35" s="422"/>
      <c r="G35" s="422"/>
      <c r="H35" s="422"/>
      <c r="I35" s="422"/>
      <c r="J35" s="422"/>
      <c r="K35" s="422"/>
      <c r="L35" s="423"/>
      <c r="M35" s="424"/>
      <c r="N35" s="101"/>
      <c r="O35" s="20"/>
      <c r="P35" s="20"/>
      <c r="Q35" s="15"/>
      <c r="R35" s="15"/>
    </row>
    <row r="36" spans="1:19" s="16" customFormat="1" ht="18.75" hidden="1" customHeight="1" x14ac:dyDescent="0.2">
      <c r="A36" s="60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00"/>
      <c r="N36" s="101"/>
      <c r="O36" s="20"/>
      <c r="P36" s="20"/>
      <c r="Q36" s="15"/>
      <c r="R36" s="15"/>
    </row>
    <row r="37" spans="1:19" s="16" customFormat="1" ht="18.75" customHeight="1" x14ac:dyDescent="0.2">
      <c r="A37" s="3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/>
      <c r="O37" s="15"/>
      <c r="P37" s="15"/>
      <c r="Q37" s="15"/>
      <c r="R37" s="15"/>
    </row>
    <row r="38" spans="1:19" s="20" customFormat="1" ht="23.1" customHeight="1" x14ac:dyDescent="0.2">
      <c r="A38" s="25" t="s">
        <v>29</v>
      </c>
      <c r="B38" s="290"/>
      <c r="C38" s="291"/>
      <c r="D38" s="291"/>
      <c r="E38" s="291"/>
      <c r="F38" s="291"/>
      <c r="G38" s="292"/>
      <c r="H38" s="403" t="s">
        <v>30</v>
      </c>
      <c r="I38" s="404"/>
      <c r="J38" s="405"/>
      <c r="K38" s="292"/>
      <c r="L38" s="37"/>
      <c r="M38" s="1"/>
      <c r="N38" s="1"/>
      <c r="O38" s="15"/>
      <c r="P38" s="15"/>
      <c r="Q38" s="15"/>
      <c r="R38" s="15"/>
    </row>
    <row r="39" spans="1:19" s="16" customFormat="1" ht="81" customHeight="1" x14ac:dyDescent="0.2">
      <c r="A39" s="413" t="s">
        <v>199</v>
      </c>
      <c r="B39" s="414"/>
      <c r="C39" s="287" t="s">
        <v>31</v>
      </c>
      <c r="D39" s="287" t="s">
        <v>200</v>
      </c>
      <c r="E39" s="293" t="s">
        <v>32</v>
      </c>
      <c r="F39" s="294" t="s">
        <v>33</v>
      </c>
      <c r="G39" s="95" t="s">
        <v>201</v>
      </c>
      <c r="H39" s="95" t="s">
        <v>202</v>
      </c>
      <c r="I39" s="95" t="s">
        <v>203</v>
      </c>
      <c r="J39" s="95" t="s">
        <v>207</v>
      </c>
      <c r="K39" s="295" t="s">
        <v>204</v>
      </c>
      <c r="L39" s="296" t="s">
        <v>34</v>
      </c>
      <c r="M39" s="295" t="s">
        <v>226</v>
      </c>
      <c r="N39" s="132"/>
      <c r="P39" s="68" t="s">
        <v>125</v>
      </c>
      <c r="Q39" s="68" t="s">
        <v>125</v>
      </c>
      <c r="R39" s="68" t="s">
        <v>126</v>
      </c>
      <c r="S39" s="68" t="s">
        <v>127</v>
      </c>
    </row>
    <row r="40" spans="1:19" s="16" customFormat="1" ht="15" x14ac:dyDescent="0.2">
      <c r="A40" s="133"/>
      <c r="B40" s="134" t="s">
        <v>104</v>
      </c>
      <c r="C40" s="299">
        <f>IF($E$47-(E7*0.4)&lt;100000,E40,IF((E7*0.4)&lt;MIN(E16,E93:E97),ROUND(E7*0.4,0),MIN(E16,E93:E97)))</f>
        <v>0</v>
      </c>
      <c r="D40" s="299">
        <f t="shared" ref="D40:D47" si="1">E40-C40</f>
        <v>0</v>
      </c>
      <c r="E40" s="300">
        <f>IF(MAX(E$93:E$97)&lt;E16,MAX(E$93:E$97),(E16))</f>
        <v>0</v>
      </c>
      <c r="F40" s="377" t="str">
        <f t="shared" ref="F40:F46" si="2">IF(E$7=0,"",E40/E$7)</f>
        <v/>
      </c>
      <c r="G40" s="136"/>
      <c r="H40" s="266"/>
      <c r="I40" s="266"/>
      <c r="J40" s="266"/>
      <c r="K40" s="137"/>
      <c r="L40" s="138"/>
      <c r="M40" s="139"/>
      <c r="N40" s="132"/>
      <c r="P40" s="104"/>
      <c r="Q40" s="104"/>
      <c r="R40" s="104"/>
      <c r="S40" s="113"/>
    </row>
    <row r="41" spans="1:19" s="16" customFormat="1" ht="14.25" customHeight="1" x14ac:dyDescent="0.2">
      <c r="A41" s="297" t="s">
        <v>22</v>
      </c>
      <c r="B41" s="298">
        <f>$B$24</f>
        <v>0</v>
      </c>
      <c r="C41" s="299">
        <f t="shared" ref="C41:C46" si="3">IF(($C$47-$C$40)&gt;0,ROUND(E41/($E$47-$E$40)*($C$47-$C$40),0),0)</f>
        <v>0</v>
      </c>
      <c r="D41" s="299">
        <f t="shared" si="1"/>
        <v>0</v>
      </c>
      <c r="E41" s="300">
        <f t="shared" ref="E41:E46" si="4">IF($E$47-$E$40=0,0,ROUND(C24/($C$30-$C$23)*($E$47-$E$40),0))</f>
        <v>0</v>
      </c>
      <c r="F41" s="377" t="str">
        <f t="shared" si="2"/>
        <v/>
      </c>
      <c r="G41" s="299">
        <f>$H$54</f>
        <v>0</v>
      </c>
      <c r="H41" s="301" t="s">
        <v>35</v>
      </c>
      <c r="I41" s="301" t="s">
        <v>35</v>
      </c>
      <c r="J41" s="301" t="s">
        <v>35</v>
      </c>
      <c r="K41" s="302" t="str">
        <f t="shared" ref="K41:K46" si="5">IF($E$7=0,"",(G41+N(H41)+N(I41)+N(J41))/$E$7)</f>
        <v/>
      </c>
      <c r="L41" s="303"/>
      <c r="M41" s="299">
        <f t="shared" ref="M41:M46" si="6">N(D24)+N(E24)+N(F24)+N(G24)-N(G41)-N(H41)-N(I41)-N(J41)</f>
        <v>0</v>
      </c>
      <c r="N41" s="132"/>
      <c r="P41" s="69">
        <f>IF(J24&lt;72,J24,72)</f>
        <v>0</v>
      </c>
      <c r="Q41" s="69">
        <f>IF(J24&lt;72,J24,72)</f>
        <v>0</v>
      </c>
      <c r="R41" s="69">
        <f t="shared" ref="R41:R46" si="7">K24</f>
        <v>0</v>
      </c>
      <c r="S41" s="114" t="s">
        <v>35</v>
      </c>
    </row>
    <row r="42" spans="1:19" s="16" customFormat="1" ht="14.25" customHeight="1" x14ac:dyDescent="0.2">
      <c r="A42" s="297" t="s">
        <v>23</v>
      </c>
      <c r="B42" s="298">
        <f>$B$25</f>
        <v>0</v>
      </c>
      <c r="C42" s="299">
        <f t="shared" si="3"/>
        <v>0</v>
      </c>
      <c r="D42" s="299">
        <f t="shared" si="1"/>
        <v>0</v>
      </c>
      <c r="E42" s="300">
        <f t="shared" si="4"/>
        <v>0</v>
      </c>
      <c r="F42" s="377" t="str">
        <f t="shared" si="2"/>
        <v/>
      </c>
      <c r="G42" s="299">
        <f>$H$56</f>
        <v>0</v>
      </c>
      <c r="H42" s="299" t="str">
        <f>IF($E$30=0,"",ROUND((E25*H$47/$E$30),0))</f>
        <v/>
      </c>
      <c r="I42" s="299" t="str">
        <f>IF(OR(A$68=1,$F$30=0),"",ROUND((F25*I$47/$F$30),0))</f>
        <v/>
      </c>
      <c r="J42" s="299" t="str">
        <f>IF($G$30=0,"",ROUND((G25*J$47/$G$30),0))</f>
        <v/>
      </c>
      <c r="K42" s="302" t="str">
        <f t="shared" si="5"/>
        <v/>
      </c>
      <c r="L42" s="304"/>
      <c r="M42" s="299">
        <f t="shared" si="6"/>
        <v>0</v>
      </c>
      <c r="N42" s="132"/>
      <c r="P42" s="70">
        <f>IF($J25=0,0,IF($J25&lt;$F56,$J25,$F$56))</f>
        <v>0</v>
      </c>
      <c r="Q42" s="70">
        <f>IF(J25=0,0,IF(J25&lt;F56,J25,F56))</f>
        <v>0</v>
      </c>
      <c r="R42" s="70">
        <f t="shared" si="7"/>
        <v>0</v>
      </c>
      <c r="S42" s="115">
        <f>IF(H25&gt;DATE(YEAR(H24),MONTH(H24)+R41,DAY(H24)),H25,DATE(YEAR(H24),MONTH(H24)+R41,DAY(H24)))</f>
        <v>0</v>
      </c>
    </row>
    <row r="43" spans="1:19" s="16" customFormat="1" ht="14.25" customHeight="1" x14ac:dyDescent="0.2">
      <c r="A43" s="297" t="s">
        <v>24</v>
      </c>
      <c r="B43" s="298">
        <f>B26</f>
        <v>0</v>
      </c>
      <c r="C43" s="299">
        <f t="shared" si="3"/>
        <v>0</v>
      </c>
      <c r="D43" s="299">
        <f t="shared" si="1"/>
        <v>0</v>
      </c>
      <c r="E43" s="300">
        <f t="shared" si="4"/>
        <v>0</v>
      </c>
      <c r="F43" s="377" t="str">
        <f t="shared" si="2"/>
        <v/>
      </c>
      <c r="G43" s="299">
        <f>$H$58</f>
        <v>0</v>
      </c>
      <c r="H43" s="299" t="str">
        <f>IF($E$30=0,"",ROUND((E26*H$47/$E$30),0))</f>
        <v/>
      </c>
      <c r="I43" s="299" t="str">
        <f>IF(OR(A$68=1,$F$30=0),"",ROUND((F26*I$47/$F$30),0))</f>
        <v/>
      </c>
      <c r="J43" s="299" t="str">
        <f>IF($G$30=0,"",ROUND((G26*J$47/$G$30),0))</f>
        <v/>
      </c>
      <c r="K43" s="302" t="str">
        <f t="shared" si="5"/>
        <v/>
      </c>
      <c r="L43" s="304"/>
      <c r="M43" s="299">
        <f t="shared" si="6"/>
        <v>0</v>
      </c>
      <c r="N43" s="132"/>
      <c r="P43" s="70">
        <f>IF($J26=0,0,IF($J26&lt;$F58,$J26,$F$58))</f>
        <v>0</v>
      </c>
      <c r="Q43" s="70">
        <f>IF(J26=0,0,IF(J26&lt;F58,J26,F58))</f>
        <v>0</v>
      </c>
      <c r="R43" s="70">
        <f t="shared" si="7"/>
        <v>0</v>
      </c>
      <c r="S43" s="115">
        <f>IF(H26&gt;DATE(YEAR(H24),MONTH(H24)+R41+R42,DAY(H24)),H26,DATE(YEAR(H24),MONTH(H24)+R41+R42,DAY(H24)))</f>
        <v>0</v>
      </c>
    </row>
    <row r="44" spans="1:19" s="16" customFormat="1" ht="14.25" customHeight="1" x14ac:dyDescent="0.2">
      <c r="A44" s="297" t="s">
        <v>25</v>
      </c>
      <c r="B44" s="298">
        <f>$B$27</f>
        <v>0</v>
      </c>
      <c r="C44" s="299">
        <f t="shared" si="3"/>
        <v>0</v>
      </c>
      <c r="D44" s="299">
        <f t="shared" si="1"/>
        <v>0</v>
      </c>
      <c r="E44" s="300">
        <f t="shared" si="4"/>
        <v>0</v>
      </c>
      <c r="F44" s="377" t="str">
        <f t="shared" si="2"/>
        <v/>
      </c>
      <c r="G44" s="299">
        <f>$H$60</f>
        <v>0</v>
      </c>
      <c r="H44" s="299" t="str">
        <f>IF($E$30=0,"",ROUND((E27*H$47/$E$30),0))</f>
        <v/>
      </c>
      <c r="I44" s="299" t="str">
        <f>IF(OR(A$68=1,$F$30=0),"",ROUND((F27*I$47/$F$30),0))</f>
        <v/>
      </c>
      <c r="J44" s="299" t="str">
        <f>IF($G$30=0,"",ROUND((G27*J$47/$G$30),0))</f>
        <v/>
      </c>
      <c r="K44" s="302" t="str">
        <f t="shared" si="5"/>
        <v/>
      </c>
      <c r="L44" s="304"/>
      <c r="M44" s="299">
        <f t="shared" si="6"/>
        <v>0</v>
      </c>
      <c r="N44" s="132"/>
      <c r="P44" s="70">
        <f>IF($K27=0,0,IF($K27&lt;$F60,$K27,$F$60))</f>
        <v>0</v>
      </c>
      <c r="Q44" s="70">
        <f>IF(J27=0,0,IF(J27&lt;F60,J27,F60))</f>
        <v>0</v>
      </c>
      <c r="R44" s="70">
        <f t="shared" si="7"/>
        <v>0</v>
      </c>
      <c r="S44" s="115">
        <f>IF(H27&gt;DATE(YEAR(H24),MONTH(H24)+R41+R42+R43,DAY(H24)),H27,DATE(YEAR(H24),MONTH(H24)+R41+R42+R43,DAY(H24)))</f>
        <v>0</v>
      </c>
    </row>
    <row r="45" spans="1:19" s="16" customFormat="1" ht="14.25" customHeight="1" x14ac:dyDescent="0.2">
      <c r="A45" s="297" t="s">
        <v>26</v>
      </c>
      <c r="B45" s="298">
        <f>$B$28</f>
        <v>0</v>
      </c>
      <c r="C45" s="299">
        <f t="shared" si="3"/>
        <v>0</v>
      </c>
      <c r="D45" s="299">
        <f t="shared" si="1"/>
        <v>0</v>
      </c>
      <c r="E45" s="300">
        <f t="shared" si="4"/>
        <v>0</v>
      </c>
      <c r="F45" s="377" t="str">
        <f t="shared" si="2"/>
        <v/>
      </c>
      <c r="G45" s="299">
        <f>$H$62</f>
        <v>0</v>
      </c>
      <c r="H45" s="299" t="str">
        <f>IF($E$30=0,"",ROUND((E28*H$47/$E$30),0))</f>
        <v/>
      </c>
      <c r="I45" s="299" t="str">
        <f>IF(OR(A$68=1,$F$30=0),"",ROUND((F28*I$47/$F$30),0))</f>
        <v/>
      </c>
      <c r="J45" s="299" t="str">
        <f>IF($G$30=0,"",ROUND((G28*J$47/$G$30),0))</f>
        <v/>
      </c>
      <c r="K45" s="302" t="str">
        <f t="shared" si="5"/>
        <v/>
      </c>
      <c r="L45" s="304"/>
      <c r="M45" s="299">
        <f t="shared" si="6"/>
        <v>0</v>
      </c>
      <c r="N45" s="132"/>
      <c r="P45" s="70">
        <f>IF($K28=0,0,IF($K28&lt;$F62,$K28,$F$62))</f>
        <v>0</v>
      </c>
      <c r="Q45" s="70">
        <f>IF(J28=0,0,IF(J28&lt;F62,J28,F62))</f>
        <v>0</v>
      </c>
      <c r="R45" s="70">
        <f t="shared" si="7"/>
        <v>0</v>
      </c>
      <c r="S45" s="115">
        <f>IF(H28&gt;DATE(YEAR(H24),MONTH(H24)+R41+R42+R43+R44,DAY(H24)),H28,DATE(YEAR(H24),MONTH(H24)+R41+R42+R43+R44,DAY(H24)))</f>
        <v>0</v>
      </c>
    </row>
    <row r="46" spans="1:19" s="16" customFormat="1" ht="14.25" customHeight="1" thickBot="1" x14ac:dyDescent="0.25">
      <c r="A46" s="68" t="s">
        <v>27</v>
      </c>
      <c r="B46" s="305">
        <f>$B$29</f>
        <v>0</v>
      </c>
      <c r="C46" s="306">
        <f t="shared" si="3"/>
        <v>0</v>
      </c>
      <c r="D46" s="306">
        <f t="shared" si="1"/>
        <v>0</v>
      </c>
      <c r="E46" s="307">
        <f t="shared" si="4"/>
        <v>0</v>
      </c>
      <c r="F46" s="377" t="str">
        <f t="shared" si="2"/>
        <v/>
      </c>
      <c r="G46" s="299">
        <f>$H$64</f>
        <v>0</v>
      </c>
      <c r="H46" s="299" t="str">
        <f>IF($E$30=0,"",ROUND((E29*H$47/$E$30),0))</f>
        <v/>
      </c>
      <c r="I46" s="299" t="str">
        <f>IF(OR(A$68=1,$F$30=0),"",ROUND((F29*I$47/$F$30),0))</f>
        <v/>
      </c>
      <c r="J46" s="299" t="str">
        <f>IF($G$30=0,"",ROUND((G29*J$47/$G$30),0))</f>
        <v/>
      </c>
      <c r="K46" s="302" t="str">
        <f t="shared" si="5"/>
        <v/>
      </c>
      <c r="L46" s="308"/>
      <c r="M46" s="299">
        <f t="shared" si="6"/>
        <v>0</v>
      </c>
      <c r="N46" s="132"/>
      <c r="P46" s="70">
        <f>IF($K29=0,0,IF($K29&lt;$F64,$K29,$F$64))</f>
        <v>0</v>
      </c>
      <c r="Q46" s="70">
        <f>IF(J29=0,0,IF(J29&lt;F64,J29,F64))</f>
        <v>0</v>
      </c>
      <c r="R46" s="70">
        <f t="shared" si="7"/>
        <v>0</v>
      </c>
      <c r="S46" s="115">
        <f>IF(H29&gt;DATE(YEAR(H24),MONTH(H24)+R41+R42+R43+R44+R45,DAY(H24)),H29,DATE(YEAR(H24),MONTH(H24)+R41+R42+R43+R44+R45,DAY(H24)))</f>
        <v>0</v>
      </c>
    </row>
    <row r="47" spans="1:19" s="16" customFormat="1" ht="18" customHeight="1" thickBot="1" x14ac:dyDescent="0.25">
      <c r="A47" s="153"/>
      <c r="B47" s="154" t="s">
        <v>129</v>
      </c>
      <c r="C47" s="313">
        <f>IF(E47-(E7*0.4)&lt;100000,E47,IF((E7*0.4)&lt;E47,ROUND(E7*0.4,0),E47))</f>
        <v>0</v>
      </c>
      <c r="D47" s="313">
        <f t="shared" si="1"/>
        <v>0</v>
      </c>
      <c r="E47" s="313">
        <f>IF(MAX(N(B93),N(B95),N(B97))&lt;(C30+IF(E11="Yes",N(E12),0)),MIN(E7*F9,MAX(N(B93)+N(B95)+N(B97)-E40-C48,0),E15)+E40,MIN(MAX(N(H93),N(H95),N(H97)),E15)+E40)</f>
        <v>0</v>
      </c>
      <c r="F47" s="258">
        <f>SUM(F40:F46)</f>
        <v>0</v>
      </c>
      <c r="G47" s="313">
        <f>SUM(G41:G46)</f>
        <v>0</v>
      </c>
      <c r="H47" s="313">
        <f>MIN(E30,SUM(H70:H87))</f>
        <v>0</v>
      </c>
      <c r="I47" s="313">
        <f>MIN(F30,SUM(I70:I72))</f>
        <v>0</v>
      </c>
      <c r="J47" s="313">
        <f>MIN(G30,SUM(J70:J87))</f>
        <v>0</v>
      </c>
      <c r="K47" s="314">
        <f>SUM(K41:K46)</f>
        <v>0</v>
      </c>
      <c r="L47" s="313">
        <f>G47+H47+I47+J47</f>
        <v>0</v>
      </c>
      <c r="M47" s="315">
        <f>SUM(M41:M46)</f>
        <v>0</v>
      </c>
      <c r="N47" s="132"/>
      <c r="P47" s="15"/>
      <c r="Q47" s="15"/>
      <c r="R47" s="15"/>
    </row>
    <row r="48" spans="1:19" s="58" customFormat="1" ht="27.75" customHeight="1" thickBot="1" x14ac:dyDescent="0.25">
      <c r="A48" s="434" t="str">
        <f>IF(L68=1,L69,IF(L68=2,L70,IF(L68=3,L71,IF(L68=4,"Incentive Program",""))))</f>
        <v>Incentive Program</v>
      </c>
      <c r="B48" s="435" t="str">
        <f>IF(L68=1,L70,IF(L68=2,L69,"Mesure incitative"))</f>
        <v>Mesure incitative</v>
      </c>
      <c r="C48" s="306">
        <f>IF(E11="Yes",MIN(MAX(K93:K97),N(E12),E$7*84%-E$40),0)</f>
        <v>0</v>
      </c>
      <c r="D48" s="306">
        <v>0</v>
      </c>
      <c r="E48" s="307">
        <f>C48+D48</f>
        <v>0</v>
      </c>
      <c r="F48" s="259">
        <f>IF(E7=0,0,C48/E7)</f>
        <v>0</v>
      </c>
      <c r="G48" s="158"/>
      <c r="H48" s="159"/>
      <c r="I48" s="356"/>
      <c r="J48" s="160" t="str">
        <f>IF(AND($A$68&gt;1,$A$68&lt;5,G47&gt;0,F30&gt;0,E7&gt;0),"ELF &amp; Distributor MMC / Threshold:","")</f>
        <v/>
      </c>
      <c r="K48" s="357" t="str">
        <f>IF(AND($A$68&gt;1,$A$68&lt;5,G47&gt;0,F30&gt;0,E7&gt;0),SUM(G47,N(H47))/SUM(N(D70),N(D71),N(D72)),"")</f>
        <v/>
      </c>
      <c r="L48" s="162"/>
      <c r="M48" s="163"/>
      <c r="N48" s="164"/>
      <c r="O48" s="59"/>
      <c r="P48" s="59"/>
      <c r="Q48" s="59"/>
      <c r="R48" s="59"/>
    </row>
    <row r="49" spans="1:14" s="58" customFormat="1" ht="18" customHeight="1" thickBot="1" x14ac:dyDescent="0.25">
      <c r="A49" s="153"/>
      <c r="B49" s="154" t="s">
        <v>130</v>
      </c>
      <c r="C49" s="313">
        <f>+C47+C48</f>
        <v>0</v>
      </c>
      <c r="D49" s="313">
        <f>+D47+D48</f>
        <v>0</v>
      </c>
      <c r="E49" s="313">
        <f>+E47+E48</f>
        <v>0</v>
      </c>
      <c r="F49" s="258">
        <f>SUM(F47:F48)</f>
        <v>0</v>
      </c>
      <c r="G49" s="158"/>
      <c r="H49" s="159"/>
      <c r="I49" s="159"/>
      <c r="J49" s="160"/>
      <c r="K49" s="165"/>
      <c r="L49" s="162"/>
      <c r="M49" s="163"/>
      <c r="N49" s="166"/>
    </row>
    <row r="50" spans="1:14" s="16" customFormat="1" ht="18" customHeight="1" x14ac:dyDescent="0.2">
      <c r="A50" s="436" t="s">
        <v>205</v>
      </c>
      <c r="B50" s="437"/>
      <c r="C50" s="437"/>
      <c r="D50" s="437"/>
      <c r="E50" s="437"/>
      <c r="F50" s="64"/>
      <c r="G50" s="64"/>
      <c r="H50" s="64"/>
      <c r="I50" s="64"/>
      <c r="J50" s="64"/>
      <c r="K50" s="64"/>
      <c r="L50" s="64"/>
      <c r="M50" s="15"/>
    </row>
    <row r="51" spans="1:14" s="16" customFormat="1" x14ac:dyDescent="0.2"/>
    <row r="52" spans="1:14" s="16" customFormat="1" ht="15" x14ac:dyDescent="0.2">
      <c r="A52" s="78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/>
      <c r="M52" s="15"/>
    </row>
    <row r="53" spans="1:14" s="16" customFormat="1" ht="23.1" customHeight="1" x14ac:dyDescent="0.2">
      <c r="A53" s="25" t="s">
        <v>37</v>
      </c>
      <c r="B53" s="24"/>
      <c r="C53" s="334"/>
      <c r="D53" s="22"/>
      <c r="E53" s="22"/>
      <c r="F53" s="22"/>
      <c r="G53" s="22"/>
      <c r="H53" s="18"/>
      <c r="I53" s="18"/>
      <c r="J53" s="18"/>
      <c r="K53" s="18"/>
      <c r="L53" s="1"/>
      <c r="M53" s="15"/>
    </row>
    <row r="54" spans="1:14" s="174" customFormat="1" ht="18" customHeight="1" x14ac:dyDescent="0.2">
      <c r="A54" s="318" t="s">
        <v>22</v>
      </c>
      <c r="B54" s="322">
        <f>D24</f>
        <v>0</v>
      </c>
      <c r="C54" s="323" t="s">
        <v>38</v>
      </c>
      <c r="D54" s="324">
        <f>J24</f>
        <v>0</v>
      </c>
      <c r="E54" s="323" t="s">
        <v>39</v>
      </c>
      <c r="F54" s="324">
        <f>72</f>
        <v>72</v>
      </c>
      <c r="G54" s="323" t="s">
        <v>40</v>
      </c>
      <c r="H54" s="322">
        <f>IF(J24&lt;72,B54,(B54/D54)*F54)</f>
        <v>0</v>
      </c>
      <c r="I54" s="438" t="s">
        <v>41</v>
      </c>
      <c r="J54" s="438"/>
      <c r="K54" s="330">
        <f>DATE(YEAR(H24),MONTH(H24)+72,DAY(H24))</f>
        <v>2192</v>
      </c>
      <c r="L54" s="132"/>
      <c r="M54" s="173"/>
    </row>
    <row r="55" spans="1:14" s="181" customFormat="1" ht="25.5" customHeight="1" x14ac:dyDescent="0.2">
      <c r="A55" s="319"/>
      <c r="B55" s="193" t="s">
        <v>42</v>
      </c>
      <c r="C55" s="194"/>
      <c r="D55" s="325" t="s">
        <v>43</v>
      </c>
      <c r="E55" s="194"/>
      <c r="F55" s="192" t="s">
        <v>44</v>
      </c>
      <c r="G55" s="194"/>
      <c r="H55" s="193" t="s">
        <v>45</v>
      </c>
      <c r="I55" s="195"/>
      <c r="J55" s="195"/>
      <c r="K55" s="331"/>
      <c r="L55" s="132"/>
      <c r="M55" s="83"/>
    </row>
    <row r="56" spans="1:14" s="174" customFormat="1" ht="18" customHeight="1" x14ac:dyDescent="0.2">
      <c r="A56" s="318" t="s">
        <v>23</v>
      </c>
      <c r="B56" s="322">
        <f>D25</f>
        <v>0</v>
      </c>
      <c r="C56" s="323" t="s">
        <v>38</v>
      </c>
      <c r="D56" s="324">
        <f>J25</f>
        <v>0</v>
      </c>
      <c r="E56" s="323" t="s">
        <v>39</v>
      </c>
      <c r="F56" s="326">
        <f>IF((YEAR(K54)-YEAR(S42))*12+MONTH(K54)-MONTH(S42)&lt;0,0,(YEAR(K54)-YEAR(S42))*12+MONTH(K54)-MONTH(S42))</f>
        <v>71</v>
      </c>
      <c r="G56" s="323" t="s">
        <v>40</v>
      </c>
      <c r="H56" s="322">
        <f>IF(D25=0,0,IF(D56&lt;F56,B56,(B56/D56)*F56))</f>
        <v>0</v>
      </c>
      <c r="I56" s="328"/>
      <c r="J56" s="328"/>
      <c r="K56" s="332"/>
      <c r="L56" s="132"/>
      <c r="M56" s="173"/>
    </row>
    <row r="57" spans="1:14" s="181" customFormat="1" ht="25.5" customHeight="1" x14ac:dyDescent="0.2">
      <c r="A57" s="320"/>
      <c r="B57" s="193" t="s">
        <v>42</v>
      </c>
      <c r="C57" s="327"/>
      <c r="D57" s="325" t="s">
        <v>43</v>
      </c>
      <c r="E57" s="327"/>
      <c r="F57" s="192" t="s">
        <v>44</v>
      </c>
      <c r="G57" s="194"/>
      <c r="H57" s="193" t="s">
        <v>45</v>
      </c>
      <c r="I57" s="195"/>
      <c r="J57" s="195"/>
      <c r="K57" s="331"/>
      <c r="L57" s="132"/>
      <c r="M57" s="83"/>
    </row>
    <row r="58" spans="1:14" s="174" customFormat="1" ht="18" customHeight="1" x14ac:dyDescent="0.2">
      <c r="A58" s="318" t="s">
        <v>24</v>
      </c>
      <c r="B58" s="322">
        <f>D26</f>
        <v>0</v>
      </c>
      <c r="C58" s="323" t="s">
        <v>38</v>
      </c>
      <c r="D58" s="324">
        <f>J26</f>
        <v>0</v>
      </c>
      <c r="E58" s="323" t="s">
        <v>39</v>
      </c>
      <c r="F58" s="326">
        <f>IF((YEAR(K54)-YEAR(S43))*12+MONTH(K54)-MONTH(S43)&lt;0,0,(YEAR(K54)-YEAR(S43))*12+MONTH(K54)-MONTH(S43))</f>
        <v>71</v>
      </c>
      <c r="G58" s="323" t="s">
        <v>40</v>
      </c>
      <c r="H58" s="322">
        <f>IF(D26=0,0,IF(D58&lt;F58,B58,(B58/D58)*F58))</f>
        <v>0</v>
      </c>
      <c r="I58" s="328"/>
      <c r="J58" s="328"/>
      <c r="K58" s="332"/>
      <c r="L58" s="132"/>
      <c r="M58" s="173"/>
    </row>
    <row r="59" spans="1:14" s="181" customFormat="1" ht="25.5" customHeight="1" x14ac:dyDescent="0.2">
      <c r="A59" s="321"/>
      <c r="B59" s="193" t="s">
        <v>42</v>
      </c>
      <c r="C59" s="327"/>
      <c r="D59" s="325" t="s">
        <v>43</v>
      </c>
      <c r="E59" s="327"/>
      <c r="F59" s="192" t="s">
        <v>44</v>
      </c>
      <c r="G59" s="194"/>
      <c r="H59" s="193" t="s">
        <v>45</v>
      </c>
      <c r="I59" s="195"/>
      <c r="J59" s="195"/>
      <c r="K59" s="331"/>
      <c r="L59" s="132"/>
      <c r="M59" s="83"/>
    </row>
    <row r="60" spans="1:14" s="174" customFormat="1" ht="18" customHeight="1" x14ac:dyDescent="0.2">
      <c r="A60" s="318" t="s">
        <v>25</v>
      </c>
      <c r="B60" s="322">
        <f>D27</f>
        <v>0</v>
      </c>
      <c r="C60" s="323" t="s">
        <v>38</v>
      </c>
      <c r="D60" s="326">
        <f>J27</f>
        <v>0</v>
      </c>
      <c r="E60" s="323" t="s">
        <v>39</v>
      </c>
      <c r="F60" s="326">
        <f>IF((YEAR(K54)-YEAR(S44))*12+MONTH(K54)-MONTH(S44)&lt;0,0,(YEAR(K54)-YEAR(S44))*12+MONTH(K54)-MONTH(S44))</f>
        <v>71</v>
      </c>
      <c r="G60" s="323" t="s">
        <v>40</v>
      </c>
      <c r="H60" s="322">
        <f>IF(D27=0,0,IF(D60&lt;F60,B60,(B60/D60)*F60))</f>
        <v>0</v>
      </c>
      <c r="I60" s="328"/>
      <c r="J60" s="328"/>
      <c r="K60" s="332"/>
      <c r="L60" s="132"/>
      <c r="M60" s="173"/>
    </row>
    <row r="61" spans="1:14" s="181" customFormat="1" ht="30.6" customHeight="1" x14ac:dyDescent="0.2">
      <c r="A61" s="319"/>
      <c r="B61" s="193" t="s">
        <v>42</v>
      </c>
      <c r="C61" s="327"/>
      <c r="D61" s="325" t="s">
        <v>43</v>
      </c>
      <c r="E61" s="327"/>
      <c r="F61" s="192" t="s">
        <v>44</v>
      </c>
      <c r="G61" s="194"/>
      <c r="H61" s="193" t="s">
        <v>45</v>
      </c>
      <c r="I61" s="195"/>
      <c r="J61" s="195"/>
      <c r="K61" s="331"/>
      <c r="L61" s="132"/>
      <c r="M61" s="83"/>
    </row>
    <row r="62" spans="1:14" s="174" customFormat="1" ht="18" customHeight="1" x14ac:dyDescent="0.2">
      <c r="A62" s="318" t="s">
        <v>26</v>
      </c>
      <c r="B62" s="322">
        <f>D28</f>
        <v>0</v>
      </c>
      <c r="C62" s="323" t="s">
        <v>38</v>
      </c>
      <c r="D62" s="326">
        <f>J28</f>
        <v>0</v>
      </c>
      <c r="E62" s="323" t="s">
        <v>39</v>
      </c>
      <c r="F62" s="326">
        <f>IF((YEAR(K54)-YEAR(S45))*12+MONTH(K54)-MONTH(S45)&lt;0,0,(YEAR(K54)-YEAR(S45))*12+MONTH(K54)-MONTH(S45))</f>
        <v>71</v>
      </c>
      <c r="G62" s="323" t="s">
        <v>40</v>
      </c>
      <c r="H62" s="322">
        <f>IF(D28=0,0,IF(D62&lt;F62,B62,(B62/D62)*F62))</f>
        <v>0</v>
      </c>
      <c r="I62" s="328"/>
      <c r="J62" s="328"/>
      <c r="K62" s="332"/>
      <c r="L62" s="132"/>
      <c r="M62" s="173"/>
    </row>
    <row r="63" spans="1:14" s="181" customFormat="1" ht="26.45" customHeight="1" x14ac:dyDescent="0.2">
      <c r="A63" s="320"/>
      <c r="B63" s="193" t="s">
        <v>42</v>
      </c>
      <c r="C63" s="327"/>
      <c r="D63" s="325" t="s">
        <v>43</v>
      </c>
      <c r="E63" s="327"/>
      <c r="F63" s="192" t="s">
        <v>44</v>
      </c>
      <c r="G63" s="194"/>
      <c r="H63" s="193" t="s">
        <v>45</v>
      </c>
      <c r="I63" s="195"/>
      <c r="J63" s="195"/>
      <c r="K63" s="331"/>
      <c r="L63" s="132"/>
      <c r="M63" s="83"/>
    </row>
    <row r="64" spans="1:14" s="174" customFormat="1" ht="18" customHeight="1" x14ac:dyDescent="0.2">
      <c r="A64" s="318" t="s">
        <v>27</v>
      </c>
      <c r="B64" s="322">
        <f>D29</f>
        <v>0</v>
      </c>
      <c r="C64" s="323" t="s">
        <v>38</v>
      </c>
      <c r="D64" s="326">
        <f>J29</f>
        <v>0</v>
      </c>
      <c r="E64" s="323" t="s">
        <v>39</v>
      </c>
      <c r="F64" s="326">
        <f>IF((YEAR(K54)-YEAR(S46))*12+MONTH(K54)-MONTH(S46)&lt;0,0,(YEAR(K54)-YEAR(S46))*12+MONTH(K54)-MONTH(S46))</f>
        <v>71</v>
      </c>
      <c r="G64" s="323" t="s">
        <v>40</v>
      </c>
      <c r="H64" s="322">
        <f>IF(D29=0,0,IF(D64&lt;F64,B64,(B64/D64)*F64))</f>
        <v>0</v>
      </c>
      <c r="I64" s="328"/>
      <c r="J64" s="328"/>
      <c r="K64" s="332"/>
      <c r="L64" s="132"/>
      <c r="M64" s="173"/>
    </row>
    <row r="65" spans="1:22" s="181" customFormat="1" ht="26.45" customHeight="1" x14ac:dyDescent="0.2">
      <c r="A65" s="333"/>
      <c r="B65" s="325" t="s">
        <v>42</v>
      </c>
      <c r="C65" s="328"/>
      <c r="D65" s="325" t="s">
        <v>43</v>
      </c>
      <c r="E65" s="328"/>
      <c r="F65" s="325" t="s">
        <v>44</v>
      </c>
      <c r="G65" s="325"/>
      <c r="H65" s="329" t="s">
        <v>45</v>
      </c>
      <c r="I65" s="328"/>
      <c r="J65" s="328"/>
      <c r="K65" s="332"/>
      <c r="L65" s="132"/>
    </row>
    <row r="66" spans="1:22" s="181" customFormat="1" ht="33" customHeight="1" x14ac:dyDescent="0.2">
      <c r="A66" s="192"/>
      <c r="B66" s="193"/>
      <c r="C66" s="192"/>
      <c r="D66" s="192"/>
      <c r="E66" s="194"/>
      <c r="F66" s="194"/>
      <c r="G66" s="192"/>
      <c r="H66" s="194"/>
      <c r="I66" s="194"/>
      <c r="J66" s="193"/>
      <c r="K66" s="195"/>
      <c r="L66" s="132"/>
    </row>
    <row r="67" spans="1:22" s="181" customFormat="1" ht="23.1" customHeight="1" x14ac:dyDescent="0.2">
      <c r="A67" s="335" t="s">
        <v>46</v>
      </c>
      <c r="B67" s="336"/>
      <c r="C67" s="336"/>
      <c r="D67" s="267"/>
      <c r="E67" s="267"/>
      <c r="F67" s="267"/>
      <c r="G67" s="267"/>
      <c r="H67" s="439" t="s">
        <v>206</v>
      </c>
      <c r="I67" s="439"/>
      <c r="J67" s="439"/>
      <c r="K67" s="267"/>
      <c r="L67" s="267"/>
    </row>
    <row r="68" spans="1:22" s="181" customFormat="1" ht="57.75" customHeight="1" x14ac:dyDescent="0.2">
      <c r="A68" s="273">
        <v>20</v>
      </c>
      <c r="B68" s="337" t="s">
        <v>47</v>
      </c>
      <c r="C68" s="284" t="s">
        <v>48</v>
      </c>
      <c r="D68" s="284" t="s">
        <v>49</v>
      </c>
      <c r="E68" s="440" t="s">
        <v>50</v>
      </c>
      <c r="F68" s="441"/>
      <c r="G68" s="284" t="s">
        <v>51</v>
      </c>
      <c r="H68" s="338" t="s">
        <v>234</v>
      </c>
      <c r="I68" s="338" t="s">
        <v>235</v>
      </c>
      <c r="J68" s="268" t="s">
        <v>236</v>
      </c>
      <c r="K68" s="274"/>
      <c r="L68" s="378">
        <v>4</v>
      </c>
    </row>
    <row r="69" spans="1:22" s="181" customFormat="1" ht="24.95" customHeight="1" x14ac:dyDescent="0.2">
      <c r="A69" s="355"/>
      <c r="B69" s="351" t="s">
        <v>52</v>
      </c>
      <c r="C69" s="350"/>
      <c r="D69" s="358"/>
      <c r="E69" s="359"/>
      <c r="F69" s="360"/>
      <c r="G69" s="359"/>
      <c r="H69" s="359"/>
      <c r="I69" s="361"/>
      <c r="J69" s="374"/>
      <c r="K69" s="275" t="s">
        <v>10</v>
      </c>
      <c r="L69" s="276" t="s">
        <v>62</v>
      </c>
      <c r="M69" s="83"/>
    </row>
    <row r="70" spans="1:22" s="181" customFormat="1" ht="35.1" customHeight="1" x14ac:dyDescent="0.2">
      <c r="A70" s="355"/>
      <c r="B70" s="375" t="s">
        <v>210</v>
      </c>
      <c r="C70" s="5" t="s">
        <v>211</v>
      </c>
      <c r="D70" s="362" t="str">
        <f>IF(A$68=2,MIN(ROUND(10%*$E$7,0),ROUND(130000*L$7,0)),"N/A")</f>
        <v>N/A</v>
      </c>
      <c r="E70" s="363" t="str">
        <f>IF(D70="N/A","N/A",
IF(G$47&gt;=D70,"Yes",
IF(G$47+MIN(E$30,MAX(D70-G$47,0))&gt;=D70,"Yes",
IF(AND(G$47+MIN(E$30,MAX(D70-G$47,0))&gt;=75%*D70,
G$47+MIN(E$30+F$30+G$30,MAX(D70-G$47,0))&gt;=D70),"Yes",
IF(AND(G$47+MIN(E$30,MAX(D70-G$47,0))&gt;=51%*D70,
G$47+MIN(E$30+G$30,MAX(D70-G$47,0))&gt;=D70),"Yes","No")))))</f>
        <v>N/A</v>
      </c>
      <c r="F70" s="364"/>
      <c r="G70" s="362" t="str">
        <f>IF(E70="N/A","N/A",G$47+MIN(H$47,E$30)+MIN(I$47,F$30)+MIN(J$47,G$30)-D70)</f>
        <v>N/A</v>
      </c>
      <c r="H70" s="365" t="str">
        <f>IF(E70="N/A","N/A",
IF(AND(E$30&gt;0,G$47&gt;0),MAX(D70-G$47,0),0))</f>
        <v>N/A</v>
      </c>
      <c r="I70" s="365" t="str">
        <f>IF(E70="N/A","N/A",
IF(AND($A$68=2,F$30&gt;0,G$47+H$47&gt;=75%*D70),MAX(ROUND(D70-G$47-H$47,0),0),0))</f>
        <v>N/A</v>
      </c>
      <c r="J70" s="365" t="str">
        <f>IF(E70="N/A","N/A",
IF(AND($A$68=2,G$30&gt;0,G$47+H$47&gt;=51%*D70),MAX(ROUND(D70-G$47-H$47-I$47,0),0),0))</f>
        <v>N/A</v>
      </c>
      <c r="K70" s="274" t="s">
        <v>8</v>
      </c>
      <c r="L70" s="276" t="s">
        <v>64</v>
      </c>
      <c r="M70" s="173"/>
      <c r="N70"/>
      <c r="O70"/>
      <c r="P70"/>
      <c r="Q70"/>
      <c r="R70"/>
      <c r="S70"/>
      <c r="T70"/>
      <c r="U70"/>
      <c r="V70"/>
    </row>
    <row r="71" spans="1:22" s="181" customFormat="1" ht="35.1" customHeight="1" x14ac:dyDescent="0.2">
      <c r="A71" s="355"/>
      <c r="B71" s="375" t="s">
        <v>53</v>
      </c>
      <c r="C71" s="73">
        <v>0.1</v>
      </c>
      <c r="D71" s="362" t="str">
        <f>IF(A$68=3,ROUND(C71*$E$7,0),"N/A")</f>
        <v>N/A</v>
      </c>
      <c r="E71" s="363" t="str">
        <f>IF(D71="N/A","N/A",
IF(G$47&gt;=D71,"Yes",
IF(G$47+MIN(E$30,MAX(D71-G$47,0))&gt;=D71,"Yes",
IF(AND(G$47+MIN(E$30,MAX(D71-G$47,0))&gt;=75%*D71,
G$47+MIN(E$30+F$30+G$30,MAX(D71-G$47,0))&gt;=D71),"Yes",
IF(AND(G$47+MIN(E$30,MAX(D71-G$47,0))&gt;=51%*D71,
G$47+MIN(E$30+G$30,MAX(D71-G$47,0))&gt;=D71),"Yes","No")))))</f>
        <v>N/A</v>
      </c>
      <c r="F71" s="364"/>
      <c r="G71" s="362" t="str">
        <f>IF(E71="N/A","N/A",G$47+MIN(H$47,E$30)+MIN(I$47,F$30)+MIN(J$47,G$30)-D71)</f>
        <v>N/A</v>
      </c>
      <c r="H71" s="365" t="str">
        <f>IF(E71="N/A","N/A",
IF(AND(E$30&gt;0,G$47&gt;0),MAX(D71-G$47,0),0))</f>
        <v>N/A</v>
      </c>
      <c r="I71" s="365" t="str">
        <f>IF(E71="N/A","N/A",
IF(AND($A$68=3,F$30&gt;0,G$47+H$47&gt;=75%*D71),MAX(ROUND(D71-G$47-H$47,0),0),0))</f>
        <v>N/A</v>
      </c>
      <c r="J71" s="365" t="str">
        <f>IF(E71="N/A","N/A",
IF(AND($A$68=3,G$30&gt;0,G$47+H$47&gt;=51%*D71),MAX(ROUND(D71-G$47-H$47-I$47,0),0),0))</f>
        <v>N/A</v>
      </c>
      <c r="K71" s="274"/>
      <c r="L71" s="276" t="s">
        <v>190</v>
      </c>
      <c r="M71" s="173"/>
      <c r="N71"/>
      <c r="O71"/>
      <c r="P71"/>
      <c r="Q71"/>
      <c r="R71"/>
      <c r="S71"/>
      <c r="T71"/>
      <c r="U71"/>
      <c r="V71"/>
    </row>
    <row r="72" spans="1:22" s="181" customFormat="1" ht="35.1" customHeight="1" x14ac:dyDescent="0.2">
      <c r="A72" s="355"/>
      <c r="B72" s="375" t="s">
        <v>54</v>
      </c>
      <c r="C72" s="5" t="s">
        <v>222</v>
      </c>
      <c r="D72" s="362" t="str">
        <f>IF(A$68=4,MIN(ROUND(E$7*5%,0),190000),"N/A")</f>
        <v>N/A</v>
      </c>
      <c r="E72" s="363" t="str">
        <f>IF(D72="N/A","N/A",
IF(G$47&gt;=D72,"Yes",
IF(G$47+MIN(E$30,MAX(D72-G$47,0))&gt;=D72,"Yes",
IF(AND(G$47+MIN(E$30,MAX(D72-G$47,0))&gt;=75%*D72,
G$47+MIN(E$30+F$30+G$30,MAX(D72-G$47,0))&gt;=D72),"Yes",
IF(AND(G$47+MIN(E$30,MAX(D72-G$47,0))&gt;=51%*D72,
G$47+MIN(E$30+G$30,MAX(D72-G$47,0))&gt;=D72),"Yes","No")))))</f>
        <v>N/A</v>
      </c>
      <c r="F72" s="364"/>
      <c r="G72" s="362" t="str">
        <f>IF(E72="N/A","N/A",G$47+MIN(H$47,E$30)+MIN(I$47,F$30)+MIN(J$47,G$30)-D72)</f>
        <v>N/A</v>
      </c>
      <c r="H72" s="365" t="str">
        <f>IF(E72="N/A","N/A",
IF(AND(E$30&gt;0,G$47&gt;0),MAX(D72-G$47,0),0))</f>
        <v>N/A</v>
      </c>
      <c r="I72" s="365" t="str">
        <f>IF(E72="N/A","N/A",
IF(AND($A$68=4,F$30&gt;0,G$47+H$47&gt;=75%*D72),MAX(ROUND(D72-G$47-H$47,0),0),0))</f>
        <v>N/A</v>
      </c>
      <c r="J72" s="365" t="str">
        <f>IF(E72="N/A","N/A",
IF(AND($A$68=4,G$30&gt;0,G$47+H$47&gt;=51%*D72),MAX(ROUND(D72-G$47-H$47-I$47,0),0),0))</f>
        <v>N/A</v>
      </c>
      <c r="K72" s="274"/>
      <c r="L72" s="274"/>
      <c r="M72" s="173"/>
      <c r="N72"/>
      <c r="O72"/>
      <c r="P72"/>
      <c r="Q72"/>
      <c r="R72"/>
      <c r="S72"/>
      <c r="T72"/>
      <c r="U72"/>
      <c r="V72"/>
    </row>
    <row r="73" spans="1:22" s="181" customFormat="1" ht="24.95" customHeight="1" x14ac:dyDescent="0.2">
      <c r="A73" s="355"/>
      <c r="B73" s="201" t="s">
        <v>55</v>
      </c>
      <c r="C73" s="202"/>
      <c r="D73" s="358"/>
      <c r="E73" s="358"/>
      <c r="F73" s="360"/>
      <c r="G73" s="359"/>
      <c r="H73" s="359"/>
      <c r="I73" s="361"/>
      <c r="J73" s="366"/>
      <c r="K73" s="274"/>
      <c r="L73" s="274"/>
      <c r="M73" s="173"/>
      <c r="N73"/>
      <c r="O73"/>
      <c r="P73"/>
      <c r="Q73"/>
      <c r="R73"/>
      <c r="S73"/>
      <c r="T73"/>
      <c r="U73"/>
      <c r="V73"/>
    </row>
    <row r="74" spans="1:22" s="181" customFormat="1" ht="50.1" customHeight="1" x14ac:dyDescent="0.2">
      <c r="A74" s="355"/>
      <c r="B74" s="375" t="s">
        <v>232</v>
      </c>
      <c r="C74" s="5" t="s">
        <v>212</v>
      </c>
      <c r="D74" s="362" t="str">
        <f>IF($A$68=6,MIN(ROUND((10%*E$7),0),ROUND(100000*L$7,0)),"N/A")</f>
        <v>N/A</v>
      </c>
      <c r="E74" s="363" t="str">
        <f>IF(D74="N/A","N/A",
IF(G$47&gt;=D74,"Yes",
IF(G$47+MIN(E$30,MAX(D74-G$47,0))&gt;=D74,"Yes",
IF(AND(G$47+MIN(E$30,MAX(D74-G$47,0))&gt;=51%*D74,
G$47+MIN(E$30+G$30,MAX(D74-G$47,0))&gt;=D74),"Yes","No"))))</f>
        <v>N/A</v>
      </c>
      <c r="F74" s="364"/>
      <c r="G74" s="362" t="str">
        <f>IF(E74="N/A","N/A",G$47+MIN(H$47,E$30)+MIN(I$47,F$30)+MIN(J$47,G$30)-D74)</f>
        <v>N/A</v>
      </c>
      <c r="H74" s="365" t="str">
        <f>IF(E74="N/A","N/A",
IF(AND(E$30&gt;0,G$47&gt;0),MAX(D74-G$47,0),0))</f>
        <v>N/A</v>
      </c>
      <c r="I74" s="367"/>
      <c r="J74" s="365" t="str">
        <f>IF(E74="N/A","N/A",IF(AND($A$68=6,G$30&gt;0,G$47+H$47&gt;=51%*D74),MAX(ROUND(D74-G$47-H$47-I$47,0),0),0))</f>
        <v>N/A</v>
      </c>
      <c r="K74" s="274"/>
      <c r="L74" s="274"/>
      <c r="M74" s="173"/>
      <c r="N74"/>
      <c r="O74"/>
      <c r="P74"/>
      <c r="Q74"/>
      <c r="R74"/>
      <c r="S74"/>
      <c r="T74"/>
      <c r="U74"/>
      <c r="V74"/>
    </row>
    <row r="75" spans="1:22" s="181" customFormat="1" ht="35.1" customHeight="1" x14ac:dyDescent="0.2">
      <c r="A75" s="355"/>
      <c r="B75" s="375" t="s">
        <v>227</v>
      </c>
      <c r="C75" s="5" t="s">
        <v>223</v>
      </c>
      <c r="D75" s="362" t="str">
        <f>IF(A$68=7,MIN(ROUND((10%*$E$7),0),90000),"N/A")</f>
        <v>N/A</v>
      </c>
      <c r="E75" s="363" t="str">
        <f>IF(D75="N/A","N/A",
IF(G$47&gt;=D75,"Yes",
IF(G$47+MIN(E$30,MAX(D75-G$47,0))&gt;=D75,"Yes",
IF(AND(G$47+MIN(E$30,MAX(D75-G$47,0))&gt;=51%*D75,
G$47+MIN(E$30+G$30,MAX(D75-G$47,0))&gt;=D75),"Yes","No"))))</f>
        <v>N/A</v>
      </c>
      <c r="F75" s="364"/>
      <c r="G75" s="362" t="str">
        <f>IF(E75="N/A","N/A",G$47+MIN(H$47,E$30)+MIN(I$47,F$30)+MIN(J$47,G$30)-D75)</f>
        <v>N/A</v>
      </c>
      <c r="H75" s="365" t="str">
        <f>IF(E75="N/A","N/A",
IF(AND(E$30&gt;0,G$47&gt;0),MAX(D75-G$47,0),0))</f>
        <v>N/A</v>
      </c>
      <c r="I75" s="368"/>
      <c r="J75" s="365" t="str">
        <f>IF(E75="N/A","N/A",IF(AND($A$68=7,G$30&gt;0,G$47+H$47&gt;=51%*D75),MAX(ROUND(D75-G$47-H$47-I$47,0),0),0))</f>
        <v>N/A</v>
      </c>
      <c r="K75" s="274"/>
      <c r="L75" s="274"/>
      <c r="M75" s="173"/>
      <c r="N75"/>
      <c r="O75"/>
      <c r="P75"/>
      <c r="Q75"/>
      <c r="R75"/>
      <c r="S75"/>
      <c r="T75"/>
      <c r="U75"/>
      <c r="V75"/>
    </row>
    <row r="76" spans="1:22" s="181" customFormat="1" ht="24.95" customHeight="1" x14ac:dyDescent="0.2">
      <c r="A76" s="355"/>
      <c r="B76" s="201" t="s">
        <v>63</v>
      </c>
      <c r="C76" s="202"/>
      <c r="D76" s="358"/>
      <c r="E76" s="358"/>
      <c r="F76" s="360"/>
      <c r="G76" s="359"/>
      <c r="H76" s="359"/>
      <c r="I76" s="361"/>
      <c r="J76" s="366"/>
      <c r="K76" s="274"/>
      <c r="L76" s="274"/>
      <c r="M76" s="173"/>
      <c r="N76"/>
      <c r="O76"/>
      <c r="P76"/>
      <c r="Q76"/>
      <c r="R76"/>
      <c r="S76"/>
      <c r="T76"/>
      <c r="U76"/>
      <c r="V76"/>
    </row>
    <row r="77" spans="1:22" s="181" customFormat="1" ht="35.1" customHeight="1" x14ac:dyDescent="0.2">
      <c r="A77" s="355"/>
      <c r="B77" s="5" t="s">
        <v>213</v>
      </c>
      <c r="C77" s="5" t="s">
        <v>243</v>
      </c>
      <c r="D77" s="362" t="str">
        <f>IF($A$68=9,MIN(ROUND((10%*E$7),0),ROUND(240000*L$7,0)),"N/A")</f>
        <v>N/A</v>
      </c>
      <c r="E77" s="363" t="str">
        <f>IF(D77="N/A","N/A",
IF(G$47&gt;=D77,"Yes",
IF(G$47+MIN(E$30,MAX(D77-G$47,0))&gt;=D77,"Yes",
IF(AND(G$47+MIN(E$30,MAX(D77-G$47,0))&gt;=51%*D77,
G$47+MIN(E$30+G$30,MAX(D77-G$47,0))&gt;=D77),"Yes","No"))))</f>
        <v>N/A</v>
      </c>
      <c r="F77" s="364"/>
      <c r="G77" s="362" t="str">
        <f>IF(E77="N/A","N/A",G$47+MIN(H$47,E$30)+MIN(I$47,F$30)+MIN(J$47,G$30)-D77)</f>
        <v>N/A</v>
      </c>
      <c r="H77" s="365" t="str">
        <f>IF(E77="N/A","N/A",
IF(AND(E$30&gt;0,G$47&gt;0),MAX(D77-G$47,0),0))</f>
        <v>N/A</v>
      </c>
      <c r="I77" s="369"/>
      <c r="J77" s="365" t="str">
        <f>IF(E77="N/A","N/A",IF(AND($A$68=9,G$30&gt;0,G$47+H$47&gt;=51%*D77),MAX(ROUND(D77-G$47-H$47-I$47,0),0),0))</f>
        <v>N/A</v>
      </c>
      <c r="K77" s="274"/>
      <c r="L77" s="274"/>
      <c r="M77" s="173"/>
      <c r="N77"/>
      <c r="O77"/>
      <c r="P77"/>
      <c r="Q77"/>
      <c r="R77"/>
      <c r="S77"/>
      <c r="T77"/>
      <c r="U77"/>
      <c r="V77"/>
    </row>
    <row r="78" spans="1:22" s="181" customFormat="1" ht="24.95" customHeight="1" x14ac:dyDescent="0.2">
      <c r="A78" s="355"/>
      <c r="B78" s="201" t="s">
        <v>56</v>
      </c>
      <c r="C78" s="202"/>
      <c r="D78" s="358"/>
      <c r="E78" s="358"/>
      <c r="F78" s="360"/>
      <c r="G78" s="359"/>
      <c r="H78" s="359"/>
      <c r="I78" s="361"/>
      <c r="J78" s="366"/>
      <c r="K78" s="274"/>
      <c r="L78" s="274"/>
      <c r="M78" s="173"/>
      <c r="N78"/>
      <c r="O78"/>
      <c r="P78"/>
      <c r="Q78"/>
      <c r="R78"/>
      <c r="S78"/>
      <c r="T78"/>
      <c r="U78"/>
      <c r="V78"/>
    </row>
    <row r="79" spans="1:22" s="181" customFormat="1" ht="35.1" customHeight="1" x14ac:dyDescent="0.2">
      <c r="A79" s="355"/>
      <c r="B79" s="375" t="s">
        <v>57</v>
      </c>
      <c r="C79" s="5" t="s">
        <v>214</v>
      </c>
      <c r="D79" s="362" t="str">
        <f>IF($A$68=11,MIN(ROUND((10%*E$7),0),ROUND(315000*L$7,0)),"N/A")</f>
        <v>N/A</v>
      </c>
      <c r="E79" s="363" t="str">
        <f t="shared" ref="E79:E85" si="8">IF(D79="N/A","N/A",
IF(G$47&gt;=D79,"Yes",
IF(G$47+MIN(E$30,MAX(D79-G$47,0))&gt;=D79,"Yes",
IF(AND(G$47+MIN(E$30,MAX(D79-G$47,0))&gt;=51%*D79,
G$47+MIN(E$30+G$30,MAX(D79-G$47,0))&gt;=D79),"Yes","No"))))</f>
        <v>N/A</v>
      </c>
      <c r="F79" s="364"/>
      <c r="G79" s="362" t="str">
        <f t="shared" ref="G79:G85" si="9">IF(E79="N/A","N/A",G$47+MIN(H$47,E$30)+MIN(I$47,F$30)+MIN(J$47,G$30)-D79)</f>
        <v>N/A</v>
      </c>
      <c r="H79" s="365" t="str">
        <f t="shared" ref="H79:H85" si="10">IF(E79="N/A","N/A",
IF(AND(E$30&gt;0,G$47&gt;0),MAX(D79-G$47,0),0))</f>
        <v>N/A</v>
      </c>
      <c r="I79" s="369"/>
      <c r="J79" s="365" t="str">
        <f>IF(E79="N/A","N/A",IF(AND($A$68=11,G$30&gt;0,G$47+H$47&gt;=51%*D79),MAX(ROUND(D79-G$47-H$47-I$47,0),0),0))</f>
        <v>N/A</v>
      </c>
      <c r="K79" s="274"/>
      <c r="L79" s="274"/>
      <c r="M79" s="173"/>
      <c r="N79"/>
      <c r="O79"/>
      <c r="P79"/>
      <c r="Q79"/>
      <c r="R79"/>
      <c r="S79"/>
      <c r="T79"/>
      <c r="U79"/>
      <c r="V79"/>
    </row>
    <row r="80" spans="1:22" s="181" customFormat="1" ht="50.1" customHeight="1" x14ac:dyDescent="0.2">
      <c r="A80" s="355"/>
      <c r="B80" s="375" t="s">
        <v>58</v>
      </c>
      <c r="C80" s="5" t="s">
        <v>215</v>
      </c>
      <c r="D80" s="362" t="str">
        <f>IF($A$68=12,MIN(ROUND((10%*E$7),0),ROUND(315000*L$7,0)),"N/A")</f>
        <v>N/A</v>
      </c>
      <c r="E80" s="363" t="str">
        <f t="shared" si="8"/>
        <v>N/A</v>
      </c>
      <c r="F80" s="364"/>
      <c r="G80" s="362" t="str">
        <f t="shared" si="9"/>
        <v>N/A</v>
      </c>
      <c r="H80" s="365" t="str">
        <f t="shared" si="10"/>
        <v>N/A</v>
      </c>
      <c r="I80" s="370"/>
      <c r="J80" s="365" t="str">
        <f>IF(E80="N/A","N/A",IF(AND($A$68=12,G$30&gt;0,G$47+H$47&gt;=51%*D80),MAX(ROUND(D80-G$47-H$47-I$47,0),0),0))</f>
        <v>N/A</v>
      </c>
      <c r="K80" s="274"/>
      <c r="L80" s="274"/>
      <c r="M80" s="173"/>
      <c r="N80"/>
      <c r="O80"/>
      <c r="P80"/>
      <c r="Q80"/>
      <c r="R80"/>
      <c r="S80"/>
      <c r="T80"/>
      <c r="U80"/>
      <c r="V80"/>
    </row>
    <row r="81" spans="1:33" s="181" customFormat="1" ht="60" customHeight="1" x14ac:dyDescent="0.2">
      <c r="A81" s="355"/>
      <c r="B81" s="375" t="s">
        <v>244</v>
      </c>
      <c r="C81" s="5" t="s">
        <v>216</v>
      </c>
      <c r="D81" s="362" t="str">
        <f>IF(A$68=13,MIN(ROUND((10%*E$7),0),ROUND(235000*L$7,0)),"N/A")</f>
        <v>N/A</v>
      </c>
      <c r="E81" s="363" t="str">
        <f t="shared" si="8"/>
        <v>N/A</v>
      </c>
      <c r="F81" s="364"/>
      <c r="G81" s="362" t="str">
        <f t="shared" si="9"/>
        <v>N/A</v>
      </c>
      <c r="H81" s="365" t="str">
        <f t="shared" si="10"/>
        <v>N/A</v>
      </c>
      <c r="I81" s="371"/>
      <c r="J81" s="365" t="str">
        <f>IF(E81="N/A","N/A",IF(AND($A$68=13,G$30&gt;0,G$47+H$47&gt;=51%*D81),MAX(ROUND(D81-G$47-H$47-I$47,0),0),0))</f>
        <v>N/A</v>
      </c>
      <c r="K81" s="274"/>
      <c r="L81" s="274"/>
      <c r="M81" s="173"/>
      <c r="N81"/>
      <c r="O81"/>
      <c r="P81"/>
      <c r="Q81"/>
      <c r="R81"/>
      <c r="S81"/>
      <c r="T81"/>
      <c r="U81"/>
      <c r="V81"/>
    </row>
    <row r="82" spans="1:33" s="181" customFormat="1" ht="41.45" customHeight="1" x14ac:dyDescent="0.2">
      <c r="A82" s="355"/>
      <c r="B82" s="375" t="s">
        <v>245</v>
      </c>
      <c r="C82" s="73">
        <v>0.1</v>
      </c>
      <c r="D82" s="362" t="str">
        <f>IF(A$68=14,ROUND((10%*$E$7),0),"N/A")</f>
        <v>N/A</v>
      </c>
      <c r="E82" s="363" t="str">
        <f t="shared" si="8"/>
        <v>N/A</v>
      </c>
      <c r="F82" s="364"/>
      <c r="G82" s="362" t="str">
        <f t="shared" si="9"/>
        <v>N/A</v>
      </c>
      <c r="H82" s="365" t="str">
        <f t="shared" si="10"/>
        <v>N/A</v>
      </c>
      <c r="I82" s="372"/>
      <c r="J82" s="365" t="str">
        <f>IF(E82="N/A","N/A",IF(AND($A$68=14,G$30&gt;0,G$47+H$47&gt;=51%*D82),MAX(ROUND(D82-G$47-H$47-I$47,0),0),0))</f>
        <v>N/A</v>
      </c>
      <c r="K82" s="274"/>
      <c r="L82" s="274"/>
      <c r="M82" s="173"/>
      <c r="N82"/>
      <c r="O82"/>
      <c r="P82"/>
      <c r="Q82"/>
      <c r="R82"/>
      <c r="S82"/>
      <c r="T82"/>
      <c r="U82"/>
      <c r="V82"/>
    </row>
    <row r="83" spans="1:33" s="181" customFormat="1" ht="35.1" customHeight="1" x14ac:dyDescent="0.2">
      <c r="A83" s="355"/>
      <c r="B83" s="375" t="s">
        <v>59</v>
      </c>
      <c r="C83" s="5" t="s">
        <v>217</v>
      </c>
      <c r="D83" s="362" t="str">
        <f>IF(A$68=15,MIN(ROUND((5%*E$7),0),230000),"N/A")</f>
        <v>N/A</v>
      </c>
      <c r="E83" s="363" t="str">
        <f t="shared" si="8"/>
        <v>N/A</v>
      </c>
      <c r="F83" s="364"/>
      <c r="G83" s="362" t="str">
        <f t="shared" si="9"/>
        <v>N/A</v>
      </c>
      <c r="H83" s="365" t="str">
        <f t="shared" si="10"/>
        <v>N/A</v>
      </c>
      <c r="I83" s="372"/>
      <c r="J83" s="365" t="str">
        <f>IF(E83="N/A","N/A",IF(AND($A$68=15,G$30&gt;0,G$47+H$47&gt;=51%*D83),MAX(ROUND(D83-G$47-H$47-I$47,0),0),0))</f>
        <v>N/A</v>
      </c>
      <c r="K83" s="274"/>
      <c r="L83" s="274"/>
      <c r="M83" s="173"/>
      <c r="N83"/>
      <c r="O83"/>
      <c r="P83"/>
      <c r="Q83"/>
      <c r="R83"/>
      <c r="S83"/>
      <c r="T83"/>
      <c r="U83"/>
      <c r="V83"/>
    </row>
    <row r="84" spans="1:33" s="181" customFormat="1" ht="39" customHeight="1" x14ac:dyDescent="0.2">
      <c r="A84" s="355"/>
      <c r="B84" s="375" t="s">
        <v>60</v>
      </c>
      <c r="C84" s="5" t="s">
        <v>218</v>
      </c>
      <c r="D84" s="362" t="str">
        <f>IF(A$68=16,MIN(ROUND((10%*E$7),0),ROUND(2*205000*L$7,0)),"N/A")</f>
        <v>N/A</v>
      </c>
      <c r="E84" s="363" t="str">
        <f t="shared" si="8"/>
        <v>N/A</v>
      </c>
      <c r="F84" s="364"/>
      <c r="G84" s="362" t="str">
        <f t="shared" si="9"/>
        <v>N/A</v>
      </c>
      <c r="H84" s="365" t="str">
        <f t="shared" si="10"/>
        <v>N/A</v>
      </c>
      <c r="I84" s="372"/>
      <c r="J84" s="365" t="str">
        <f>IF(E84="N/A","N/A",IF(AND($A$68=16,G$30&gt;0,G$47+H$47&gt;=51%*D84),MAX(ROUND(D84-G$47-H$47-I$47,0),0),0))</f>
        <v>N/A</v>
      </c>
      <c r="K84" s="274"/>
      <c r="L84" s="274"/>
      <c r="M84" s="173"/>
      <c r="N84"/>
      <c r="O84"/>
      <c r="P84"/>
      <c r="Q84"/>
      <c r="R84"/>
      <c r="S84"/>
      <c r="T84"/>
      <c r="U84"/>
      <c r="V84"/>
    </row>
    <row r="85" spans="1:33" s="181" customFormat="1" ht="35.1" customHeight="1" x14ac:dyDescent="0.2">
      <c r="A85" s="355"/>
      <c r="B85" s="375" t="s">
        <v>61</v>
      </c>
      <c r="C85" s="5" t="s">
        <v>219</v>
      </c>
      <c r="D85" s="362" t="str">
        <f>IF(A$68=17,MIN(ROUND((10%*E$7),0),ROUND(525000*L$7,0)),"N/A")</f>
        <v>N/A</v>
      </c>
      <c r="E85" s="363" t="str">
        <f t="shared" si="8"/>
        <v>N/A</v>
      </c>
      <c r="F85" s="364"/>
      <c r="G85" s="362" t="str">
        <f t="shared" si="9"/>
        <v>N/A</v>
      </c>
      <c r="H85" s="365" t="str">
        <f t="shared" si="10"/>
        <v>N/A</v>
      </c>
      <c r="I85" s="372"/>
      <c r="J85" s="365" t="str">
        <f>IF(E85="N/A","N/A",IF(AND($A$68=17,G$30&gt;0,G$47+H$47&gt;=51%*D85),MAX(ROUND(D85-G$47-H$47-I$47,0),0),0))</f>
        <v>N/A</v>
      </c>
      <c r="K85" s="274"/>
      <c r="L85" s="274"/>
      <c r="M85" s="173"/>
      <c r="N85"/>
      <c r="O85"/>
      <c r="P85"/>
      <c r="Q85"/>
      <c r="R85"/>
      <c r="S85"/>
      <c r="T85"/>
      <c r="U85"/>
      <c r="V85"/>
    </row>
    <row r="86" spans="1:33" s="181" customFormat="1" ht="24.95" customHeight="1" x14ac:dyDescent="0.2">
      <c r="A86" s="355"/>
      <c r="B86" s="6" t="s">
        <v>220</v>
      </c>
      <c r="C86" s="80"/>
      <c r="D86" s="360"/>
      <c r="E86" s="360"/>
      <c r="F86" s="360"/>
      <c r="G86" s="360"/>
      <c r="H86" s="360"/>
      <c r="I86" s="373"/>
      <c r="J86" s="366"/>
      <c r="K86" s="274"/>
      <c r="L86" s="274"/>
      <c r="M86" s="173"/>
      <c r="N86"/>
      <c r="O86"/>
      <c r="P86"/>
      <c r="Q86"/>
      <c r="R86"/>
      <c r="S86"/>
      <c r="T86"/>
      <c r="U86"/>
      <c r="V86"/>
    </row>
    <row r="87" spans="1:33" s="181" customFormat="1" ht="50.1" customHeight="1" x14ac:dyDescent="0.2">
      <c r="A87" s="355"/>
      <c r="B87" s="375" t="s">
        <v>221</v>
      </c>
      <c r="C87" s="73">
        <v>0.1</v>
      </c>
      <c r="D87" s="362" t="str">
        <f>IF(A$68=19,ROUND((10%*$E$7),0),"N/A")</f>
        <v>N/A</v>
      </c>
      <c r="E87" s="363" t="str">
        <f>IF(D87="N/A","N/A",
IF(G$47&gt;=D87,"Yes",
IF(G$47+MIN(E$30,MAX(D87-G$47,0))&gt;=D87,"Yes",
IF(AND(G$47+MIN(E$30,MAX(D87-G$47,0))&gt;=51%*D87,
G$47+MIN(E$30+G$30,MAX(D87-G$47,0))&gt;=D87),"Yes","No"))))</f>
        <v>N/A</v>
      </c>
      <c r="F87" s="364"/>
      <c r="G87" s="362" t="str">
        <f>IF(E87="N/A","N/A",G$47+MIN(H$47,E$30)+MIN(I$47,F$30)+MIN(J$47,G$30)-D87)</f>
        <v>N/A</v>
      </c>
      <c r="H87" s="365" t="str">
        <f>IF(E87="N/A","N/A",
IF(AND(E$30&gt;0,G$47&gt;0),MAX(D87-G$47,0),0))</f>
        <v>N/A</v>
      </c>
      <c r="I87" s="372"/>
      <c r="J87" s="365" t="str">
        <f>IF(E87="N/A","N/A",IF(AND($A$68=19,G$30&gt;0,G$47+H$47&gt;=51%*D87),MAX(ROUND(D87-G$47-H$47-I$47,0),0),0))</f>
        <v>N/A</v>
      </c>
      <c r="K87" s="274"/>
      <c r="L87" s="274"/>
      <c r="M87" s="173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s="132" customFormat="1" ht="15" x14ac:dyDescent="0.2">
      <c r="A88" s="349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s="132" customFormat="1" ht="24.95" customHeight="1" x14ac:dyDescent="0.2">
      <c r="A89" s="339" t="s">
        <v>65</v>
      </c>
      <c r="B89" s="340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s="181" customFormat="1" ht="38.25" customHeight="1" x14ac:dyDescent="0.2">
      <c r="A90" s="225"/>
      <c r="B90" s="444" t="s">
        <v>66</v>
      </c>
      <c r="C90" s="445"/>
      <c r="D90" s="446"/>
      <c r="E90" s="447" t="s">
        <v>208</v>
      </c>
      <c r="F90" s="448"/>
      <c r="G90" s="449"/>
      <c r="H90" s="425" t="s">
        <v>67</v>
      </c>
      <c r="I90" s="426"/>
      <c r="J90" s="427"/>
      <c r="K90" s="428" t="str">
        <f>_xlfn.CONCAT(IF(L68=1,L69,IF(L68=2,L70,IF(L68=3,L71,IF(L68=4,"Incentive Programs","")))),"***")</f>
        <v>Incentive Programs***</v>
      </c>
      <c r="L90" s="428"/>
      <c r="M90" s="428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s="181" customFormat="1" ht="45" customHeight="1" x14ac:dyDescent="0.2">
      <c r="A91" s="167" t="s">
        <v>47</v>
      </c>
      <c r="B91" s="341" t="s">
        <v>68</v>
      </c>
      <c r="C91" s="341" t="s">
        <v>69</v>
      </c>
      <c r="D91" s="342" t="s">
        <v>70</v>
      </c>
      <c r="E91" s="343" t="s">
        <v>174</v>
      </c>
      <c r="F91" s="344" t="s">
        <v>69</v>
      </c>
      <c r="G91" s="344" t="s">
        <v>70</v>
      </c>
      <c r="H91" s="345" t="s">
        <v>71</v>
      </c>
      <c r="I91" s="346" t="s">
        <v>69</v>
      </c>
      <c r="J91" s="346" t="s">
        <v>70</v>
      </c>
      <c r="K91" s="347" t="s">
        <v>72</v>
      </c>
      <c r="L91" s="348" t="s">
        <v>69</v>
      </c>
      <c r="M91" s="348" t="s">
        <v>70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s="181" customFormat="1" ht="20.100000000000001" customHeight="1" x14ac:dyDescent="0.2">
      <c r="A92" s="232" t="s">
        <v>229</v>
      </c>
      <c r="B92" s="232"/>
      <c r="C92" s="233"/>
      <c r="D92" s="233"/>
      <c r="E92" s="233"/>
      <c r="F92" s="233"/>
      <c r="G92" s="233"/>
      <c r="H92" s="233"/>
      <c r="I92" s="233"/>
      <c r="J92" s="233"/>
      <c r="K92" s="234"/>
      <c r="L92" s="235"/>
      <c r="M92" s="236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s="181" customFormat="1" ht="58.15" customHeight="1" x14ac:dyDescent="0.2">
      <c r="A93" s="237" t="s">
        <v>224</v>
      </c>
      <c r="B93" s="239" t="str">
        <f>IF(OR(A$68=1,A$68=2,AND(A$68&gt;4,A$68&lt;10)),IF(AND(E11&lt;&gt;"Yes",E$14&lt;&gt;"Yes"),MIN(550000,ROUND(E$7*0.6,0)),MIN((N(E93)+N(H93)+N(K93)),ROUND(E$7*0.84,0))),"N/A")</f>
        <v>N/A</v>
      </c>
      <c r="C93" s="238" t="str">
        <f>IF(OR(A$68=1,A$68=2,AND(A$68&gt;4,A$68&lt;10)),IF(OR(B93&lt;C30+C48,F93="No",I93="No",L93="No"),"No","Yes"),"N/A")</f>
        <v>N/A</v>
      </c>
      <c r="D93" s="239" t="str">
        <f>IF(C93="No",MAX(C30+C48-B93,IF(G93="N/A",0,G93)+IF(J93="N/A",0,J93)+IF(M93="N/A",0,M93)),"N/A")</f>
        <v>N/A</v>
      </c>
      <c r="E93" s="168" t="str">
        <f>IF(OR(A$68=1,A$68=2,AND(A$68&gt;4,A$68&lt;10)),MIN(550000,ROUND(E7*0.6,0)),"N/A")</f>
        <v>N/A</v>
      </c>
      <c r="F93" s="240" t="str">
        <f>IF(OR(A$68=1,A$68=2,AND(A$68&gt;4,A$68&lt;10)),IF(E93&gt;=E$16,"Yes","No"),"N/A")</f>
        <v>N/A</v>
      </c>
      <c r="G93" s="241" t="str">
        <f>IF($F93="No",E16-E93,"N/A")</f>
        <v>N/A</v>
      </c>
      <c r="H93" s="168" t="str">
        <f>IF(OR(A$68=1,A$68=2,AND(A$68&gt;4,A$68&lt;10)),IF(E14="Yes",MIN(ROUND(E$7*F$9,0),MAX(84%*$E$7-E93,0)),"N/A"),"N/A")</f>
        <v>N/A</v>
      </c>
      <c r="I93" s="241" t="str">
        <f>IF(OR(A$68=1,A$68=2,AND(A$68&gt;4,A$68&lt;10)),IF(E14="Yes",IF(H93&gt;=(E15),"Yes","No"),"N/A"),"N/A")</f>
        <v>N/A</v>
      </c>
      <c r="J93" s="242" t="str">
        <f>IF(I93="No",E15-H93,"N/A")</f>
        <v>N/A</v>
      </c>
      <c r="K93" s="168" t="str">
        <f>IF(OR(A$68=1,A$68=2,AND(A$68&gt;4,A$68&lt;10)),
 IF(E$11="Yes",
   IF(L$68=1,MIN(ROUND(15%*$E$7,0),1000000),
   IF(AND(L$68=2,E$13="Yes"),MIN(ROUND(25%*$E$7,0),900000),
   IF(AND(L$68=2,E$13&lt;&gt;"Yes"),MIN(ROUND(15%*$E$7,0),900000),
   IF(L$68=3,MIN(ROUND(30%*$E$7,0),200000),"N/A")))),
 "N/A"),
"N/A")</f>
        <v>N/A</v>
      </c>
      <c r="L93" s="243" t="str">
        <f>IF(K93="N/A","N/A",IF(K93&gt;=E$12,"Yes","No"))</f>
        <v>N/A</v>
      </c>
      <c r="M93" s="244" t="str">
        <f>IF(L93="No",E12-K93,"N/A")</f>
        <v>N/A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s="181" customFormat="1" ht="20.100000000000001" customHeight="1" x14ac:dyDescent="0.2">
      <c r="A94" s="232" t="s">
        <v>228</v>
      </c>
      <c r="B94" s="232"/>
      <c r="C94" s="233"/>
      <c r="D94" s="233"/>
      <c r="E94" s="233"/>
      <c r="F94" s="233"/>
      <c r="G94" s="233"/>
      <c r="H94" s="233"/>
      <c r="I94" s="233"/>
      <c r="J94" s="233"/>
      <c r="K94" s="234"/>
      <c r="L94" s="234"/>
      <c r="M94" s="246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s="181" customFormat="1" ht="58.15" customHeight="1" x14ac:dyDescent="0.2">
      <c r="A95" s="247" t="s">
        <v>225</v>
      </c>
      <c r="B95" s="239" t="str">
        <f>IF(AND(A$68&gt;9,A$68&lt;18),IF(AND(E$11&lt;&gt;"Yes",E$14&lt;&gt;"Yes"),MIN(750000,ROUND(E$7*60%,0)),MIN((N(E95)+N(H95)+N(K95)),ROUND(E$7*84%,0))),"N/A")</f>
        <v>N/A</v>
      </c>
      <c r="C95" s="238" t="str">
        <f>IF(AND(A$68&gt;9,A$68&lt;18),IF(OR(B95&lt;C$30+C$48,F95="No",I95="No",L95="No"),"No","Yes"),"N/A")</f>
        <v>N/A</v>
      </c>
      <c r="D95" s="239" t="str">
        <f>IF(C95="No",MAX(C$30+C$48-B95,IF(G95="N/A",0,G95)+IF(J95="N/A",0,J95)+IF(M95="N/A",0,M95)),"N/A")</f>
        <v>N/A</v>
      </c>
      <c r="E95" s="239" t="str">
        <f>IF(AND(A$68&gt;9,A$68&lt;18),MIN(750000,ROUND(E$7*0.6,0)),"N/A")</f>
        <v>N/A</v>
      </c>
      <c r="F95" s="238" t="str">
        <f>IF(AND(A$68&gt;9,A$68&lt;18),IF(E95&gt;=E$16,"Yes","No"),"N/A")</f>
        <v>N/A</v>
      </c>
      <c r="G95" s="242" t="str">
        <f>IF(F95="No",E$16-E95,"N/A")</f>
        <v>N/A</v>
      </c>
      <c r="H95" s="239" t="str">
        <f>IF(AND(A$68&gt;9,A$68&lt;18),IF(E$14="Yes",MIN(ROUND(E$7*F$9,0),MAX(84%*$E$7-E95,0)),"N/A"),"N/A")</f>
        <v>N/A</v>
      </c>
      <c r="I95" s="242" t="str">
        <f>IF(AND(A$68&gt;9,A$68&lt;18),IF(E$14="Yes",IF(H95&gt;=E$15,"Yes","No"),"N/A"),"N/A")</f>
        <v>N/A</v>
      </c>
      <c r="J95" s="242" t="str">
        <f>IF(I95="No",E$15-H95,"N/A")</f>
        <v>N/A</v>
      </c>
      <c r="K95" s="243" t="str">
        <f>IF(AND(A$68&gt;9,A$68&lt;18),
 IF(E$11="Yes",
   IF(L$68=1,MIN(ROUND(15%*$E$7,0),1000000),
   IF(AND(A$68=15,L$68=2,E$13="Yes"),MIN(ROUND(25%*$E$7,0),600000),
   IF(AND(A$68=15,L$68=2,E$13&lt;&gt;"Yes"),MIN(ROUND(15%*$E$7,0),600000),
   IF(AND(L$68=2,E$13="Yes"),MIN(ROUND(25%*$E$7,0),900000),
   IF(AND(L$68=2,E$13&lt;&gt;"Yes"),MIN(ROUND(15%*$E$7,0),900000),
   IF(L$68=3,MIN(ROUND(30%*$E$7,0),200000),"N/A")))))),
 "N/A"),
"N/A")</f>
        <v>N/A</v>
      </c>
      <c r="L95" s="243" t="str">
        <f>IF(K95="N/A","N/A",IF(K95&gt;=E$12,"Yes","No"))</f>
        <v>N/A</v>
      </c>
      <c r="M95" s="244" t="str">
        <f>IF(L95="No",E$12-K95,"N/A")</f>
        <v>N/A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s="181" customFormat="1" ht="20.100000000000001" customHeight="1" x14ac:dyDescent="0.2">
      <c r="A96" s="232" t="s">
        <v>230</v>
      </c>
      <c r="B96" s="232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46"/>
    </row>
    <row r="97" spans="1:43" s="181" customFormat="1" ht="58.15" customHeight="1" x14ac:dyDescent="0.2">
      <c r="A97" s="247" t="s">
        <v>225</v>
      </c>
      <c r="B97" s="239" t="str">
        <f>IF(OR(A$68=18,A$68=19,A$68=3,A$68=4),IF(AND(E$11&lt;&gt;"Yes",E$14&lt;&gt;"Yes"),MIN(750000,ROUND(E$7*60%,0)),MIN((N(E97)+N(H97)+N(K97)),ROUND(E$7*84%,0))),"N/A")</f>
        <v>N/A</v>
      </c>
      <c r="C97" s="238" t="str">
        <f>IF(OR(A$68=18,A$68=19,A$68=3,A$68=4),IF(OR(B97&lt;C$30+C$48,F97="No",I97="No",L97="No"),"No","Yes"),"N/A")</f>
        <v>N/A</v>
      </c>
      <c r="D97" s="239" t="str">
        <f>IF(C97="No",MAX(C$30+C$48-B97,IF(G97="N/A",0,G97)+IF(J97="N/A",0,J97)+IF(M97="N/A",0,M97)),"N/A")</f>
        <v>N/A</v>
      </c>
      <c r="E97" s="239" t="str">
        <f>IF(OR(A$68=18,A$68=19,A$68=3,A$68=4),MIN(750000,ROUND(E$7*0.6,0)),"N/A")</f>
        <v>N/A</v>
      </c>
      <c r="F97" s="238" t="str">
        <f>IF(OR(A$68=18,A$68=19,A$68=3,A$68=4),IF(E97&gt;=E$16,"Yes","No"),"N/A")</f>
        <v>N/A</v>
      </c>
      <c r="G97" s="242" t="str">
        <f>IF(F97="No",E$16-E97,"N/A")</f>
        <v>N/A</v>
      </c>
      <c r="H97" s="239" t="str">
        <f>IF(OR(A$68=18,A$68=19,A$68=3,A$68=4),IF(E$14="Yes",MIN(ROUND(E$7*F$9,0),MAX(84%*$E$7-E97,0)),"N/A"),"N/A")</f>
        <v>N/A</v>
      </c>
      <c r="I97" s="242" t="str">
        <f>IF(OR(A$68=18,A$68=19,A$68=3,A$68=4),IF(E$14="Yes",IF(H97&gt;=E$15,"Yes","No"),"N/A"),"N/A")</f>
        <v>N/A</v>
      </c>
      <c r="J97" s="242" t="str">
        <f>IF(I97="No",E$15-H97,"N/A")</f>
        <v>N/A</v>
      </c>
      <c r="K97" s="243" t="str">
        <f>IF(OR(A$68=18,A$68=19,A$68=3,A$68=4),
 IF(E$11="Yes",
   IF(L$68=1,MIN(ROUND(15%*$E$7,0),1000000),
   IF(AND(L$68=2,E$13="Yes"),MIN(ROUND(25%*$E$7,0),900000),
   IF(AND(L$68=2,E$13&lt;&gt;"Yes"),MIN(ROUND(15%*$E$7,0),900000),
   IF(L$68=3,MIN(ROUND(30%*$E$7,0),200000),"N/A")))),
 "N/A"),"N/A")</f>
        <v>N/A</v>
      </c>
      <c r="L97" s="243" t="str">
        <f>IF(K97="N/A","N/A",IF(K97&gt;=E$12,"Yes","No"))</f>
        <v>N/A</v>
      </c>
      <c r="M97" s="244" t="str">
        <f>IF(L97="No",E$12-K97,"N/A")</f>
        <v>N/A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43" s="181" customFormat="1" ht="20.100000000000001" customHeight="1" x14ac:dyDescent="0.2">
      <c r="A98" s="249"/>
      <c r="B98" s="250"/>
      <c r="C98" s="249"/>
      <c r="D98" s="249"/>
      <c r="E98" s="249"/>
      <c r="F98" s="249"/>
      <c r="G98" s="249"/>
      <c r="H98" s="249"/>
      <c r="I98" s="249"/>
      <c r="J98" s="249"/>
      <c r="K98" s="249"/>
      <c r="L98" s="251"/>
      <c r="M98" s="251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43" s="181" customFormat="1" ht="30" customHeight="1" x14ac:dyDescent="0.2">
      <c r="A99" s="282" t="s">
        <v>181</v>
      </c>
      <c r="B99" s="429" t="s">
        <v>62</v>
      </c>
      <c r="C99" s="430"/>
      <c r="D99" s="431" t="s">
        <v>188</v>
      </c>
      <c r="E99" s="432"/>
      <c r="F99" s="433"/>
      <c r="G99" s="249"/>
      <c r="H99" s="249"/>
      <c r="I99" s="249"/>
      <c r="J99" s="249"/>
      <c r="K99" s="249"/>
      <c r="L99" s="249"/>
      <c r="M99" s="24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43" s="181" customFormat="1" ht="30" customHeight="1" x14ac:dyDescent="0.2">
      <c r="A100" s="282" t="s">
        <v>181</v>
      </c>
      <c r="B100" s="429" t="s">
        <v>64</v>
      </c>
      <c r="C100" s="430"/>
      <c r="D100" s="431" t="str">
        <f>IF(E13&lt;&gt;"Yes", "15% of Eligible Costs (Max $600,000 for Feature films, Live-action, Drama) | $900,000 for all other projects) ", "25% of Eligible Costs (Max $600,000 for  Feature films, Live-action, Drama) | $900,000 for all other projects) ")</f>
        <v xml:space="preserve">15% of Eligible Costs (Max $600,000 for Feature films, Live-action, Drama) | $900,000 for all other projects) </v>
      </c>
      <c r="E100" s="442"/>
      <c r="F100" s="443"/>
      <c r="G100" s="249"/>
      <c r="H100" s="249"/>
      <c r="I100" s="249"/>
      <c r="J100" s="249"/>
      <c r="K100" s="249"/>
      <c r="L100" s="249"/>
      <c r="M100" s="249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43" s="255" customFormat="1" ht="30" customHeight="1" x14ac:dyDescent="0.2">
      <c r="A101" s="282" t="s">
        <v>181</v>
      </c>
      <c r="B101" s="429" t="s">
        <v>190</v>
      </c>
      <c r="C101" s="430"/>
      <c r="D101" s="431" t="s">
        <v>189</v>
      </c>
      <c r="E101" s="442"/>
      <c r="F101" s="443"/>
      <c r="G101" s="253"/>
      <c r="H101" s="253"/>
      <c r="I101" s="253"/>
      <c r="J101" s="253"/>
      <c r="K101" s="253"/>
      <c r="L101" s="253"/>
      <c r="M101" s="253"/>
      <c r="N101" s="253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</row>
    <row r="102" spans="1:43" s="255" customFormat="1" ht="15" x14ac:dyDescent="0.2">
      <c r="A102" s="253"/>
      <c r="B102" s="254"/>
      <c r="C102" s="253"/>
      <c r="D102" s="253"/>
      <c r="E102" s="253"/>
      <c r="F102" s="253"/>
      <c r="G102" s="253"/>
      <c r="H102" s="253"/>
      <c r="I102" s="253"/>
      <c r="J102" s="253"/>
      <c r="K102" s="253"/>
      <c r="L102" s="253"/>
      <c r="M102" s="253"/>
      <c r="N102" s="253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</row>
    <row r="103" spans="1:43" s="255" customFormat="1" ht="15" x14ac:dyDescent="0.2">
      <c r="A103" s="253"/>
      <c r="B103" s="254"/>
      <c r="C103" s="253"/>
      <c r="D103" s="253"/>
      <c r="E103" s="253"/>
      <c r="F103" s="253"/>
      <c r="G103"/>
      <c r="H103" s="253"/>
      <c r="I103" s="253"/>
      <c r="J103" s="253"/>
      <c r="K103" s="253"/>
      <c r="L103" s="253"/>
      <c r="M103" s="253"/>
      <c r="N103" s="25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</row>
    <row r="104" spans="1:43" s="255" customFormat="1" ht="15" x14ac:dyDescent="0.2">
      <c r="G104"/>
      <c r="H104" s="253"/>
      <c r="I104" s="253"/>
      <c r="J104" s="253"/>
      <c r="K104" s="253"/>
      <c r="L104" s="253"/>
      <c r="M104" s="253"/>
      <c r="N104" s="253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 s="253"/>
      <c r="AI104" s="253"/>
      <c r="AJ104" s="253"/>
      <c r="AK104" s="253"/>
      <c r="AL104" s="253"/>
      <c r="AM104" s="253"/>
      <c r="AN104" s="253"/>
      <c r="AO104" s="253"/>
      <c r="AP104" s="253"/>
      <c r="AQ104" s="253"/>
    </row>
    <row r="105" spans="1:43" s="255" customFormat="1" ht="15" x14ac:dyDescent="0.2">
      <c r="G105"/>
      <c r="H105" s="253"/>
      <c r="I105" s="253"/>
      <c r="J105" s="253"/>
      <c r="K105" s="253"/>
      <c r="L105" s="253"/>
      <c r="M105" s="253"/>
      <c r="N105" s="253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</row>
    <row r="106" spans="1:43" s="255" customFormat="1" ht="15" x14ac:dyDescent="0.2">
      <c r="G106"/>
      <c r="H106" s="253"/>
      <c r="I106" s="253"/>
      <c r="J106" s="253"/>
      <c r="K106" s="253"/>
      <c r="L106" s="253"/>
      <c r="M106" s="253"/>
      <c r="N106" s="253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</row>
    <row r="107" spans="1:43" s="255" customFormat="1" ht="15" x14ac:dyDescent="0.2">
      <c r="A107" s="253"/>
      <c r="B107" s="254"/>
      <c r="C107" s="253"/>
      <c r="D107" s="253"/>
      <c r="E107" s="253"/>
      <c r="F107" s="253"/>
      <c r="G107"/>
      <c r="H107" s="253"/>
      <c r="I107" s="253"/>
      <c r="J107" s="253"/>
      <c r="K107" s="253"/>
      <c r="L107" s="253"/>
      <c r="M107" s="253"/>
      <c r="N107" s="253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 s="253"/>
      <c r="AI107" s="253"/>
      <c r="AJ107" s="253"/>
      <c r="AK107" s="253"/>
      <c r="AL107" s="253"/>
      <c r="AM107" s="253"/>
      <c r="AN107" s="253"/>
      <c r="AO107" s="253"/>
      <c r="AP107" s="253"/>
      <c r="AQ107" s="253"/>
    </row>
    <row r="108" spans="1:43" s="255" customFormat="1" ht="15" x14ac:dyDescent="0.2">
      <c r="A108" s="253"/>
      <c r="B108" s="254"/>
      <c r="C108" s="253"/>
      <c r="D108" s="253"/>
      <c r="E108" s="253"/>
      <c r="F108" s="253"/>
      <c r="G108"/>
      <c r="H108" s="253"/>
      <c r="I108" s="253"/>
      <c r="J108" s="253"/>
      <c r="K108" s="253"/>
      <c r="L108" s="253"/>
      <c r="M108" s="253"/>
      <c r="N108" s="253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 s="253"/>
      <c r="AI108" s="253"/>
      <c r="AJ108" s="253"/>
      <c r="AK108" s="253"/>
      <c r="AL108" s="253"/>
      <c r="AM108" s="253"/>
      <c r="AN108" s="253"/>
      <c r="AO108" s="253"/>
      <c r="AP108" s="253"/>
      <c r="AQ108" s="253"/>
    </row>
    <row r="109" spans="1:43" s="255" customFormat="1" ht="15" x14ac:dyDescent="0.2">
      <c r="A109" s="253"/>
      <c r="B109" s="254"/>
      <c r="C109" s="253"/>
      <c r="D109" s="253"/>
      <c r="E109" s="253"/>
      <c r="F109" s="253"/>
      <c r="G109"/>
      <c r="H109" s="253"/>
      <c r="I109" s="253"/>
      <c r="J109" s="253"/>
      <c r="K109" s="253"/>
      <c r="L109" s="253"/>
      <c r="M109" s="253"/>
      <c r="N109" s="253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</row>
    <row r="110" spans="1:43" s="255" customFormat="1" ht="15" x14ac:dyDescent="0.2">
      <c r="A110" s="253"/>
      <c r="B110" s="254"/>
      <c r="C110" s="253"/>
      <c r="D110" s="253"/>
      <c r="E110" s="253"/>
      <c r="F110" s="253"/>
      <c r="G110" s="253"/>
      <c r="H110" s="253"/>
      <c r="I110" s="253"/>
      <c r="J110" s="253"/>
      <c r="K110" s="253"/>
      <c r="L110" s="253"/>
      <c r="M110" s="253"/>
      <c r="N110" s="253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</row>
    <row r="111" spans="1:43" s="255" customFormat="1" ht="15" x14ac:dyDescent="0.2">
      <c r="A111" s="253"/>
      <c r="B111" s="254"/>
      <c r="C111" s="253"/>
      <c r="D111" s="253"/>
      <c r="E111" s="253"/>
      <c r="F111" s="253"/>
      <c r="G111" s="253"/>
      <c r="H111" s="253"/>
      <c r="I111" s="253"/>
      <c r="J111" s="253"/>
      <c r="K111" s="253"/>
      <c r="L111" s="253"/>
      <c r="M111" s="253"/>
      <c r="N111" s="253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</row>
    <row r="112" spans="1:43" s="255" customFormat="1" ht="15" x14ac:dyDescent="0.2">
      <c r="A112" s="253"/>
      <c r="B112" s="254"/>
      <c r="C112" s="253"/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3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 s="253"/>
      <c r="AI112" s="253"/>
      <c r="AJ112" s="253"/>
      <c r="AK112" s="253"/>
      <c r="AL112" s="253"/>
      <c r="AM112" s="253"/>
      <c r="AN112" s="253"/>
      <c r="AO112" s="253"/>
      <c r="AP112" s="253"/>
      <c r="AQ112" s="253"/>
    </row>
    <row r="113" spans="1:43" s="255" customFormat="1" ht="15" x14ac:dyDescent="0.2">
      <c r="A113" s="253"/>
      <c r="B113" s="254"/>
      <c r="C113" s="253"/>
      <c r="D113" s="253"/>
      <c r="E113" s="253"/>
      <c r="F113" s="253"/>
      <c r="G113" s="253"/>
      <c r="H113" s="253"/>
      <c r="I113" s="253"/>
      <c r="J113" s="253"/>
      <c r="K113" s="253"/>
      <c r="L113" s="253"/>
      <c r="M113" s="253"/>
      <c r="N113" s="25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 s="253"/>
      <c r="AI113" s="253"/>
      <c r="AJ113" s="253"/>
      <c r="AK113" s="253"/>
      <c r="AL113" s="253"/>
      <c r="AM113" s="253"/>
      <c r="AN113" s="253"/>
      <c r="AO113" s="253"/>
      <c r="AP113" s="253"/>
      <c r="AQ113" s="253"/>
    </row>
    <row r="114" spans="1:43" s="255" customFormat="1" ht="15" x14ac:dyDescent="0.2">
      <c r="A114" s="253"/>
      <c r="B114" s="254"/>
      <c r="C114" s="253"/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</row>
    <row r="115" spans="1:43" s="255" customFormat="1" ht="15" x14ac:dyDescent="0.2">
      <c r="A115" s="253"/>
      <c r="B115" s="254"/>
      <c r="C115" s="253"/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</row>
    <row r="116" spans="1:43" s="255" customFormat="1" ht="15" x14ac:dyDescent="0.2">
      <c r="A116" s="253"/>
      <c r="B116" s="254"/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3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</row>
    <row r="117" spans="1:43" s="255" customFormat="1" ht="15" x14ac:dyDescent="0.2">
      <c r="A117" s="253"/>
      <c r="B117" s="254"/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 s="253"/>
      <c r="AI117" s="253"/>
      <c r="AJ117" s="253"/>
      <c r="AK117" s="253"/>
      <c r="AL117" s="253"/>
      <c r="AM117" s="253"/>
      <c r="AN117" s="253"/>
      <c r="AO117" s="253"/>
      <c r="AP117" s="253"/>
      <c r="AQ117" s="253"/>
    </row>
    <row r="118" spans="1:43" s="255" customFormat="1" ht="15" x14ac:dyDescent="0.2">
      <c r="A118" s="253"/>
      <c r="B118" s="254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 s="253"/>
      <c r="AI118" s="253"/>
      <c r="AJ118" s="253"/>
      <c r="AK118" s="253"/>
      <c r="AL118" s="253"/>
      <c r="AM118" s="253"/>
      <c r="AN118" s="253"/>
      <c r="AO118" s="253"/>
      <c r="AP118" s="253"/>
      <c r="AQ118" s="253"/>
    </row>
    <row r="119" spans="1:43" s="255" customFormat="1" ht="15" x14ac:dyDescent="0.2">
      <c r="A119" s="253"/>
      <c r="B119" s="254"/>
      <c r="C119" s="253"/>
      <c r="D119" s="253"/>
      <c r="E119" s="253"/>
      <c r="F119" s="253"/>
      <c r="G119" s="253"/>
      <c r="H119" s="253"/>
      <c r="I119" s="253"/>
      <c r="J119" s="253"/>
      <c r="K119" s="253"/>
      <c r="L119" s="253"/>
      <c r="M119" s="253"/>
      <c r="N119" s="253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 s="253"/>
      <c r="AI119" s="253"/>
      <c r="AJ119" s="253"/>
      <c r="AK119" s="253"/>
      <c r="AL119" s="253"/>
      <c r="AM119" s="253"/>
      <c r="AN119" s="253"/>
      <c r="AO119" s="253"/>
      <c r="AP119" s="253"/>
      <c r="AQ119" s="253"/>
    </row>
    <row r="120" spans="1:43" s="255" customFormat="1" ht="15" x14ac:dyDescent="0.2">
      <c r="A120" s="253"/>
      <c r="B120" s="254"/>
      <c r="C120" s="253"/>
      <c r="D120" s="253"/>
      <c r="E120" s="253"/>
      <c r="F120" s="253"/>
      <c r="G120" s="253"/>
      <c r="H120" s="253"/>
      <c r="I120" s="253"/>
      <c r="J120" s="253"/>
      <c r="K120" s="253"/>
      <c r="L120" s="253"/>
      <c r="M120" s="253"/>
      <c r="N120" s="253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 s="253"/>
      <c r="AI120" s="253"/>
      <c r="AJ120" s="253"/>
      <c r="AK120" s="253"/>
      <c r="AL120" s="253"/>
      <c r="AM120" s="253"/>
      <c r="AN120" s="253"/>
      <c r="AO120" s="253"/>
      <c r="AP120" s="253"/>
      <c r="AQ120" s="253"/>
    </row>
    <row r="121" spans="1:43" s="255" customFormat="1" ht="15" x14ac:dyDescent="0.2">
      <c r="A121" s="253"/>
      <c r="B121" s="254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</row>
    <row r="122" spans="1:43" s="255" customFormat="1" ht="15" x14ac:dyDescent="0.2">
      <c r="A122" s="253"/>
      <c r="B122" s="254"/>
      <c r="C122" s="253"/>
      <c r="D122" s="253"/>
      <c r="E122" s="253"/>
      <c r="F122" s="253"/>
      <c r="G122" s="253"/>
      <c r="H122" s="253"/>
      <c r="I122" s="253"/>
      <c r="J122" s="253"/>
      <c r="K122" s="253"/>
      <c r="L122" s="253"/>
      <c r="M122" s="253"/>
      <c r="N122" s="253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</row>
    <row r="123" spans="1:43" s="255" customFormat="1" ht="15" x14ac:dyDescent="0.2">
      <c r="A123" s="253"/>
      <c r="B123" s="254"/>
      <c r="C123" s="253"/>
      <c r="D123" s="253"/>
      <c r="E123" s="253"/>
      <c r="F123" s="253"/>
      <c r="G123" s="253"/>
      <c r="H123" s="253"/>
      <c r="I123" s="253"/>
      <c r="J123" s="253"/>
      <c r="K123" s="253"/>
      <c r="L123" s="253"/>
      <c r="M123" s="253"/>
      <c r="N123" s="25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</row>
    <row r="124" spans="1:43" s="255" customFormat="1" ht="15" x14ac:dyDescent="0.2">
      <c r="A124" s="253"/>
      <c r="B124" s="254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253"/>
      <c r="N124" s="253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</row>
    <row r="125" spans="1:43" s="255" customFormat="1" ht="15" x14ac:dyDescent="0.2">
      <c r="A125" s="253"/>
      <c r="B125" s="254"/>
      <c r="C125" s="253"/>
      <c r="D125" s="253"/>
      <c r="E125" s="253"/>
      <c r="F125" s="253"/>
      <c r="G125" s="253"/>
      <c r="H125" s="253"/>
      <c r="I125" s="253"/>
      <c r="J125" s="253"/>
      <c r="K125" s="253"/>
      <c r="L125" s="253"/>
      <c r="M125" s="253"/>
      <c r="N125" s="253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</row>
    <row r="126" spans="1:43" s="255" customFormat="1" ht="15" x14ac:dyDescent="0.2">
      <c r="A126" s="253"/>
      <c r="B126" s="254"/>
      <c r="C126" s="253"/>
      <c r="D126" s="253"/>
      <c r="E126" s="253"/>
      <c r="F126" s="253"/>
      <c r="G126" s="253"/>
      <c r="H126" s="253"/>
      <c r="I126" s="253"/>
      <c r="J126" s="253"/>
      <c r="K126" s="253"/>
      <c r="L126" s="253"/>
      <c r="M126" s="253"/>
      <c r="N126" s="253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 s="253"/>
      <c r="AI126" s="253"/>
      <c r="AJ126" s="253"/>
      <c r="AK126" s="253"/>
      <c r="AL126" s="253"/>
      <c r="AM126" s="253"/>
      <c r="AN126" s="253"/>
      <c r="AO126" s="253"/>
      <c r="AP126" s="253"/>
      <c r="AQ126" s="253"/>
    </row>
    <row r="127" spans="1:43" s="255" customFormat="1" ht="15" x14ac:dyDescent="0.2">
      <c r="A127" s="253"/>
      <c r="B127" s="254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 s="253"/>
      <c r="AI127" s="253"/>
      <c r="AJ127" s="253"/>
      <c r="AK127" s="253"/>
      <c r="AL127" s="253"/>
      <c r="AM127" s="253"/>
      <c r="AN127" s="253"/>
      <c r="AO127" s="253"/>
      <c r="AP127" s="253"/>
      <c r="AQ127" s="253"/>
    </row>
    <row r="128" spans="1:43" s="255" customFormat="1" ht="15" x14ac:dyDescent="0.2">
      <c r="A128" s="253"/>
      <c r="B128" s="254"/>
      <c r="C128" s="253"/>
      <c r="D128" s="253"/>
      <c r="E128" s="253"/>
      <c r="F128" s="253"/>
      <c r="G128" s="253"/>
      <c r="H128" s="253"/>
      <c r="I128" s="253"/>
      <c r="J128" s="253"/>
      <c r="K128" s="253"/>
      <c r="L128" s="253"/>
      <c r="M128" s="253"/>
      <c r="N128" s="253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 s="253"/>
      <c r="AI128" s="253"/>
      <c r="AJ128" s="253"/>
      <c r="AK128" s="253"/>
      <c r="AL128" s="253"/>
      <c r="AM128" s="253"/>
      <c r="AN128" s="253"/>
      <c r="AO128" s="253"/>
      <c r="AP128" s="253"/>
      <c r="AQ128" s="253"/>
    </row>
    <row r="129" spans="1:43" s="255" customFormat="1" ht="15" x14ac:dyDescent="0.2">
      <c r="A129" s="253"/>
      <c r="B129" s="254"/>
      <c r="C129" s="253"/>
      <c r="D129" s="253"/>
      <c r="E129" s="253"/>
      <c r="F129" s="253"/>
      <c r="G129" s="253"/>
      <c r="H129" s="253"/>
      <c r="I129" s="253"/>
      <c r="J129" s="253"/>
      <c r="K129" s="253"/>
      <c r="L129" s="253"/>
      <c r="M129" s="253"/>
      <c r="N129" s="253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 s="253"/>
      <c r="AI129" s="253"/>
      <c r="AJ129" s="253"/>
      <c r="AK129" s="253"/>
      <c r="AL129" s="253"/>
      <c r="AM129" s="253"/>
      <c r="AN129" s="253"/>
      <c r="AO129" s="253"/>
      <c r="AP129" s="253"/>
      <c r="AQ129" s="253"/>
    </row>
    <row r="130" spans="1:43" s="255" customFormat="1" ht="15" x14ac:dyDescent="0.2">
      <c r="A130" s="253"/>
      <c r="B130" s="254"/>
      <c r="C130" s="253"/>
      <c r="D130" s="253"/>
      <c r="E130" s="253"/>
      <c r="F130" s="253"/>
      <c r="G130" s="253"/>
      <c r="H130" s="253"/>
      <c r="I130" s="253"/>
      <c r="J130" s="253"/>
      <c r="K130" s="253"/>
      <c r="L130" s="253"/>
      <c r="M130" s="253"/>
      <c r="N130" s="253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 s="253"/>
      <c r="AI130" s="253"/>
      <c r="AJ130" s="253"/>
      <c r="AK130" s="253"/>
      <c r="AL130" s="253"/>
      <c r="AM130" s="253"/>
      <c r="AN130" s="253"/>
      <c r="AO130" s="253"/>
      <c r="AP130" s="253"/>
      <c r="AQ130" s="253"/>
    </row>
    <row r="131" spans="1:43" s="255" customFormat="1" ht="15" x14ac:dyDescent="0.2">
      <c r="A131" s="253"/>
      <c r="B131" s="254"/>
      <c r="C131" s="253"/>
      <c r="D131" s="253"/>
      <c r="E131" s="253"/>
      <c r="F131" s="253"/>
      <c r="G131" s="253"/>
      <c r="H131" s="253"/>
      <c r="I131" s="253"/>
      <c r="J131" s="253"/>
      <c r="K131" s="253"/>
      <c r="L131" s="253"/>
      <c r="M131" s="253"/>
      <c r="N131" s="253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 s="253"/>
      <c r="AI131" s="253"/>
      <c r="AJ131" s="253"/>
      <c r="AK131" s="253"/>
      <c r="AL131" s="253"/>
      <c r="AM131" s="253"/>
      <c r="AN131" s="253"/>
      <c r="AO131" s="253"/>
      <c r="AP131" s="253"/>
      <c r="AQ131" s="253"/>
    </row>
    <row r="132" spans="1:43" s="255" customFormat="1" ht="15" x14ac:dyDescent="0.2">
      <c r="A132" s="253"/>
      <c r="B132" s="254"/>
      <c r="C132" s="253"/>
      <c r="D132" s="253"/>
      <c r="E132" s="253"/>
      <c r="F132" s="253"/>
      <c r="G132" s="253"/>
      <c r="H132" s="253"/>
      <c r="I132" s="253"/>
      <c r="J132" s="253"/>
      <c r="K132" s="253"/>
      <c r="L132" s="253"/>
      <c r="M132" s="253"/>
      <c r="N132" s="253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 s="253"/>
      <c r="AI132" s="253"/>
      <c r="AJ132" s="253"/>
      <c r="AK132" s="253"/>
      <c r="AL132" s="253"/>
      <c r="AM132" s="253"/>
      <c r="AN132" s="253"/>
      <c r="AO132" s="253"/>
      <c r="AP132" s="253"/>
      <c r="AQ132" s="253"/>
    </row>
    <row r="133" spans="1:43" s="255" customFormat="1" ht="15" x14ac:dyDescent="0.2">
      <c r="A133" s="253"/>
      <c r="B133" s="254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 s="253"/>
      <c r="AI133" s="253"/>
      <c r="AJ133" s="253"/>
      <c r="AK133" s="253"/>
      <c r="AL133" s="253"/>
      <c r="AM133" s="253"/>
      <c r="AN133" s="253"/>
      <c r="AO133" s="253"/>
      <c r="AP133" s="253"/>
      <c r="AQ133" s="253"/>
    </row>
    <row r="134" spans="1:43" s="255" customFormat="1" ht="15" x14ac:dyDescent="0.2">
      <c r="A134" s="253"/>
      <c r="B134" s="254"/>
      <c r="C134" s="253"/>
      <c r="D134" s="253"/>
      <c r="E134" s="253"/>
      <c r="F134" s="253"/>
      <c r="G134" s="253"/>
      <c r="H134" s="253"/>
      <c r="I134" s="253"/>
      <c r="J134" s="253"/>
      <c r="K134" s="253"/>
      <c r="L134" s="253"/>
      <c r="M134" s="253"/>
      <c r="N134" s="253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 s="253"/>
      <c r="AI134" s="253"/>
      <c r="AJ134" s="253"/>
      <c r="AK134" s="253"/>
      <c r="AL134" s="253"/>
      <c r="AM134" s="253"/>
      <c r="AN134" s="253"/>
      <c r="AO134" s="253"/>
      <c r="AP134" s="253"/>
      <c r="AQ134" s="253"/>
    </row>
    <row r="135" spans="1:43" s="255" customFormat="1" ht="15" x14ac:dyDescent="0.2">
      <c r="A135" s="253"/>
      <c r="B135" s="254"/>
      <c r="C135" s="253"/>
      <c r="D135" s="253"/>
      <c r="E135" s="253"/>
      <c r="F135" s="253"/>
      <c r="G135" s="253"/>
      <c r="H135" s="253"/>
      <c r="I135" s="253"/>
      <c r="J135" s="253"/>
      <c r="K135" s="253"/>
      <c r="L135" s="253"/>
      <c r="M135" s="253"/>
      <c r="N135" s="253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 s="253"/>
      <c r="AI135" s="253"/>
      <c r="AJ135" s="253"/>
      <c r="AK135" s="253"/>
      <c r="AL135" s="253"/>
      <c r="AM135" s="253"/>
      <c r="AN135" s="253"/>
      <c r="AO135" s="253"/>
      <c r="AP135" s="253"/>
      <c r="AQ135" s="253"/>
    </row>
    <row r="136" spans="1:43" s="255" customFormat="1" ht="15" x14ac:dyDescent="0.2">
      <c r="A136" s="253"/>
      <c r="B136" s="254"/>
      <c r="C136" s="253"/>
      <c r="D136" s="253"/>
      <c r="E136" s="253"/>
      <c r="F136" s="253"/>
      <c r="G136" s="253"/>
      <c r="H136" s="253"/>
      <c r="I136" s="253"/>
      <c r="J136" s="253"/>
      <c r="K136" s="253"/>
      <c r="L136" s="253"/>
      <c r="M136" s="253"/>
      <c r="N136" s="253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 s="253"/>
      <c r="AI136" s="253"/>
      <c r="AJ136" s="253"/>
      <c r="AK136" s="253"/>
      <c r="AL136" s="253"/>
      <c r="AM136" s="253"/>
      <c r="AN136" s="253"/>
      <c r="AO136" s="253"/>
      <c r="AP136" s="253"/>
      <c r="AQ136" s="253"/>
    </row>
    <row r="137" spans="1:43" s="255" customFormat="1" ht="15" x14ac:dyDescent="0.2">
      <c r="A137" s="253"/>
      <c r="B137" s="254"/>
      <c r="C137" s="253"/>
      <c r="D137" s="253"/>
      <c r="E137" s="253"/>
      <c r="F137" s="253"/>
      <c r="G137" s="253"/>
      <c r="H137" s="253"/>
      <c r="I137" s="253"/>
      <c r="J137" s="253"/>
      <c r="K137" s="253"/>
      <c r="L137" s="253"/>
      <c r="M137" s="253"/>
      <c r="N137" s="253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</row>
    <row r="138" spans="1:43" s="255" customFormat="1" ht="15" x14ac:dyDescent="0.2">
      <c r="A138" s="253"/>
      <c r="B138" s="254"/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  <c r="M138" s="253"/>
      <c r="N138" s="253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</row>
    <row r="139" spans="1:43" s="255" customFormat="1" ht="15" x14ac:dyDescent="0.2">
      <c r="A139" s="253"/>
      <c r="B139" s="254"/>
      <c r="C139" s="253"/>
      <c r="D139" s="253"/>
      <c r="E139" s="253"/>
      <c r="F139" s="253"/>
      <c r="G139" s="253"/>
      <c r="H139" s="253"/>
      <c r="I139" s="253"/>
      <c r="J139" s="253"/>
      <c r="K139" s="253"/>
      <c r="L139" s="253"/>
      <c r="M139" s="253"/>
      <c r="N139" s="253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</row>
    <row r="140" spans="1:43" s="255" customFormat="1" ht="15" x14ac:dyDescent="0.2">
      <c r="A140" s="253"/>
      <c r="B140" s="254"/>
      <c r="C140" s="253"/>
      <c r="D140" s="253"/>
      <c r="E140" s="253"/>
      <c r="F140" s="253"/>
      <c r="G140" s="253"/>
      <c r="H140" s="253"/>
      <c r="I140" s="253"/>
      <c r="J140" s="253"/>
      <c r="K140" s="253"/>
      <c r="L140" s="253"/>
      <c r="M140" s="253"/>
      <c r="N140" s="253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 s="253"/>
      <c r="AI140" s="253"/>
      <c r="AJ140" s="253"/>
      <c r="AK140" s="253"/>
      <c r="AL140" s="253"/>
      <c r="AM140" s="253"/>
      <c r="AN140" s="253"/>
      <c r="AO140" s="253"/>
      <c r="AP140" s="253"/>
      <c r="AQ140" s="253"/>
    </row>
    <row r="141" spans="1:43" s="255" customFormat="1" ht="15" x14ac:dyDescent="0.2">
      <c r="A141" s="253"/>
      <c r="B141" s="254"/>
      <c r="C141" s="253"/>
      <c r="D141" s="253"/>
      <c r="E141" s="253"/>
      <c r="F141" s="253"/>
      <c r="G141" s="253"/>
      <c r="H141" s="253"/>
      <c r="I141" s="253"/>
      <c r="J141" s="253"/>
      <c r="K141" s="253"/>
      <c r="L141" s="253"/>
      <c r="M141" s="253"/>
      <c r="N141" s="253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 s="253"/>
      <c r="AI141" s="253"/>
      <c r="AJ141" s="253"/>
      <c r="AK141" s="253"/>
      <c r="AL141" s="253"/>
      <c r="AM141" s="253"/>
      <c r="AN141" s="253"/>
      <c r="AO141" s="253"/>
      <c r="AP141" s="253"/>
      <c r="AQ141" s="253"/>
    </row>
    <row r="142" spans="1:43" s="255" customFormat="1" ht="15" x14ac:dyDescent="0.2">
      <c r="A142" s="253"/>
      <c r="B142" s="254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 s="253"/>
      <c r="AI142" s="253"/>
      <c r="AJ142" s="253"/>
      <c r="AK142" s="253"/>
      <c r="AL142" s="253"/>
      <c r="AM142" s="253"/>
      <c r="AN142" s="253"/>
      <c r="AO142" s="253"/>
      <c r="AP142" s="253"/>
      <c r="AQ142" s="253"/>
    </row>
    <row r="143" spans="1:43" s="255" customFormat="1" ht="15" x14ac:dyDescent="0.2">
      <c r="A143" s="253"/>
      <c r="B143" s="254"/>
      <c r="C143" s="253"/>
      <c r="D143" s="253"/>
      <c r="E143" s="253"/>
      <c r="F143" s="253"/>
      <c r="G143" s="253"/>
      <c r="H143" s="253"/>
      <c r="I143" s="253"/>
      <c r="J143" s="253"/>
      <c r="K143" s="253"/>
      <c r="L143" s="253"/>
      <c r="M143" s="253"/>
      <c r="N143" s="25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</row>
    <row r="144" spans="1:43" s="255" customFormat="1" ht="15" x14ac:dyDescent="0.2">
      <c r="A144" s="253"/>
      <c r="B144" s="254"/>
      <c r="C144" s="253"/>
      <c r="D144" s="253"/>
      <c r="E144" s="253"/>
      <c r="F144" s="253"/>
      <c r="G144" s="253"/>
      <c r="H144" s="253"/>
      <c r="I144" s="253"/>
      <c r="J144" s="253"/>
      <c r="K144" s="253"/>
      <c r="L144" s="253"/>
      <c r="M144" s="253"/>
      <c r="N144" s="253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</row>
    <row r="145" spans="1:43" s="255" customFormat="1" ht="15" x14ac:dyDescent="0.2">
      <c r="A145" s="253"/>
      <c r="B145" s="254"/>
      <c r="C145" s="253"/>
      <c r="D145" s="253"/>
      <c r="E145" s="253"/>
      <c r="F145" s="253"/>
      <c r="G145" s="253"/>
      <c r="H145" s="253"/>
      <c r="I145" s="253"/>
      <c r="J145" s="253"/>
      <c r="K145" s="253"/>
      <c r="L145" s="253"/>
      <c r="M145" s="253"/>
      <c r="N145" s="253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</row>
    <row r="146" spans="1:43" s="255" customFormat="1" ht="15" x14ac:dyDescent="0.2">
      <c r="A146" s="253"/>
      <c r="B146" s="254"/>
      <c r="C146" s="253"/>
      <c r="D146" s="253"/>
      <c r="E146" s="253"/>
      <c r="F146" s="253"/>
      <c r="G146" s="253"/>
      <c r="H146" s="253"/>
      <c r="I146" s="253"/>
      <c r="J146" s="253"/>
      <c r="K146" s="253"/>
      <c r="L146" s="253"/>
      <c r="M146" s="253"/>
      <c r="N146" s="253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 s="253"/>
      <c r="AI146" s="253"/>
      <c r="AJ146" s="253"/>
      <c r="AK146" s="253"/>
      <c r="AL146" s="253"/>
      <c r="AM146" s="253"/>
      <c r="AN146" s="253"/>
      <c r="AO146" s="253"/>
      <c r="AP146" s="253"/>
      <c r="AQ146" s="253"/>
    </row>
    <row r="147" spans="1:43" s="255" customFormat="1" ht="15" x14ac:dyDescent="0.2">
      <c r="A147" s="253"/>
      <c r="B147" s="254"/>
      <c r="C147" s="253"/>
      <c r="D147" s="253"/>
      <c r="E147" s="253"/>
      <c r="F147" s="253"/>
      <c r="G147" s="253"/>
      <c r="H147" s="253"/>
      <c r="I147" s="253"/>
      <c r="J147" s="253"/>
      <c r="K147" s="253"/>
      <c r="L147" s="253"/>
      <c r="M147" s="253"/>
      <c r="N147" s="253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 s="253"/>
      <c r="AI147" s="253"/>
      <c r="AJ147" s="253"/>
      <c r="AK147" s="253"/>
      <c r="AL147" s="253"/>
      <c r="AM147" s="253"/>
      <c r="AN147" s="253"/>
      <c r="AO147" s="253"/>
      <c r="AP147" s="253"/>
      <c r="AQ147" s="253"/>
    </row>
    <row r="148" spans="1:43" s="255" customFormat="1" ht="15" x14ac:dyDescent="0.2">
      <c r="A148" s="253"/>
      <c r="B148" s="254"/>
      <c r="C148" s="253"/>
      <c r="D148" s="253"/>
      <c r="E148" s="253"/>
      <c r="F148" s="253"/>
      <c r="G148" s="253"/>
      <c r="H148" s="253"/>
      <c r="I148" s="253"/>
      <c r="J148" s="253"/>
      <c r="K148" s="253"/>
      <c r="L148" s="253"/>
      <c r="M148" s="253"/>
      <c r="N148" s="253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 s="253"/>
      <c r="AI148" s="253"/>
      <c r="AJ148" s="253"/>
      <c r="AK148" s="253"/>
      <c r="AL148" s="253"/>
      <c r="AM148" s="253"/>
      <c r="AN148" s="253"/>
      <c r="AO148" s="253"/>
      <c r="AP148" s="253"/>
      <c r="AQ148" s="253"/>
    </row>
    <row r="149" spans="1:43" s="255" customFormat="1" ht="15" x14ac:dyDescent="0.2">
      <c r="A149" s="253"/>
      <c r="B149" s="254"/>
      <c r="C149" s="253"/>
      <c r="D149" s="253"/>
      <c r="E149" s="253"/>
      <c r="F149" s="253"/>
      <c r="G149" s="253"/>
      <c r="H149" s="253"/>
      <c r="I149" s="253"/>
      <c r="J149" s="253"/>
      <c r="K149" s="253"/>
      <c r="L149" s="253"/>
      <c r="M149" s="253"/>
      <c r="N149" s="253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 s="253"/>
      <c r="AI149" s="253"/>
      <c r="AJ149" s="253"/>
      <c r="AK149" s="253"/>
      <c r="AL149" s="253"/>
      <c r="AM149" s="253"/>
      <c r="AN149" s="253"/>
      <c r="AO149" s="253"/>
      <c r="AP149" s="253"/>
      <c r="AQ149" s="253"/>
    </row>
    <row r="150" spans="1:43" s="255" customFormat="1" ht="15" x14ac:dyDescent="0.2">
      <c r="A150" s="253"/>
      <c r="B150" s="254"/>
      <c r="C150" s="253"/>
      <c r="D150" s="253"/>
      <c r="E150" s="253"/>
      <c r="F150" s="253"/>
      <c r="G150" s="253"/>
      <c r="H150" s="253"/>
      <c r="I150" s="253"/>
      <c r="J150" s="253"/>
      <c r="K150" s="253"/>
      <c r="L150" s="253"/>
      <c r="M150" s="253"/>
      <c r="N150" s="253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 s="253"/>
      <c r="AI150" s="253"/>
      <c r="AJ150" s="253"/>
      <c r="AK150" s="253"/>
      <c r="AL150" s="253"/>
      <c r="AM150" s="253"/>
      <c r="AN150" s="253"/>
      <c r="AO150" s="253"/>
      <c r="AP150" s="253"/>
      <c r="AQ150" s="253"/>
    </row>
    <row r="151" spans="1:43" s="255" customFormat="1" ht="15" x14ac:dyDescent="0.2">
      <c r="A151" s="253"/>
      <c r="B151" s="254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253"/>
      <c r="N151" s="253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</row>
    <row r="152" spans="1:43" s="255" customFormat="1" ht="15" x14ac:dyDescent="0.2">
      <c r="A152" s="253"/>
      <c r="B152" s="254"/>
      <c r="C152" s="253"/>
      <c r="D152" s="253"/>
      <c r="E152" s="253"/>
      <c r="F152" s="253"/>
      <c r="G152" s="253"/>
      <c r="H152" s="253"/>
      <c r="I152" s="253"/>
      <c r="J152" s="253"/>
      <c r="K152" s="253"/>
      <c r="L152" s="253"/>
      <c r="M152" s="253"/>
      <c r="N152" s="253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</row>
    <row r="153" spans="1:43" s="255" customFormat="1" ht="15" x14ac:dyDescent="0.2">
      <c r="A153" s="253"/>
      <c r="B153" s="254"/>
      <c r="C153" s="253"/>
      <c r="D153" s="253"/>
      <c r="E153" s="253"/>
      <c r="F153" s="253"/>
      <c r="G153" s="253"/>
      <c r="H153" s="253"/>
      <c r="I153" s="253"/>
      <c r="J153" s="253"/>
      <c r="K153" s="253"/>
      <c r="L153" s="253"/>
      <c r="M153" s="253"/>
      <c r="N153" s="2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3"/>
    </row>
    <row r="154" spans="1:43" s="255" customFormat="1" ht="15" x14ac:dyDescent="0.2">
      <c r="A154" s="253"/>
      <c r="B154" s="254"/>
      <c r="C154" s="253"/>
      <c r="D154" s="253"/>
      <c r="E154" s="253"/>
      <c r="F154" s="253"/>
      <c r="G154" s="253"/>
      <c r="H154" s="253"/>
      <c r="I154" s="253"/>
      <c r="J154" s="253"/>
      <c r="K154" s="253"/>
      <c r="L154" s="253"/>
      <c r="M154" s="253"/>
      <c r="N154" s="253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 s="253"/>
      <c r="AI154" s="253"/>
      <c r="AJ154" s="253"/>
      <c r="AK154" s="253"/>
      <c r="AL154" s="253"/>
      <c r="AM154" s="253"/>
      <c r="AN154" s="253"/>
      <c r="AO154" s="253"/>
      <c r="AP154" s="253"/>
      <c r="AQ154" s="253"/>
    </row>
    <row r="155" spans="1:43" s="255" customFormat="1" ht="15" x14ac:dyDescent="0.2">
      <c r="A155" s="253"/>
      <c r="B155" s="254"/>
      <c r="C155" s="253"/>
      <c r="D155" s="253"/>
      <c r="E155" s="253"/>
      <c r="F155" s="253"/>
      <c r="G155" s="253"/>
      <c r="H155" s="253"/>
      <c r="I155" s="253"/>
      <c r="J155" s="253"/>
      <c r="K155" s="253"/>
      <c r="L155" s="253"/>
      <c r="M155" s="253"/>
      <c r="N155" s="253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 s="253"/>
      <c r="AI155" s="253"/>
      <c r="AJ155" s="253"/>
      <c r="AK155" s="253"/>
      <c r="AL155" s="253"/>
      <c r="AM155" s="253"/>
      <c r="AN155" s="253"/>
      <c r="AO155" s="253"/>
      <c r="AP155" s="253"/>
      <c r="AQ155" s="253"/>
    </row>
    <row r="156" spans="1:43" s="255" customFormat="1" ht="15" x14ac:dyDescent="0.2">
      <c r="A156" s="253"/>
      <c r="B156" s="254"/>
      <c r="C156" s="253"/>
      <c r="D156" s="253"/>
      <c r="E156" s="253"/>
      <c r="F156" s="253"/>
      <c r="G156" s="253"/>
      <c r="H156" s="253"/>
      <c r="I156" s="253"/>
      <c r="J156" s="253"/>
      <c r="K156" s="253"/>
      <c r="L156" s="253"/>
      <c r="M156" s="253"/>
      <c r="N156" s="253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 s="253"/>
      <c r="AI156" s="253"/>
      <c r="AJ156" s="253"/>
      <c r="AK156" s="253"/>
      <c r="AL156" s="253"/>
      <c r="AM156" s="253"/>
      <c r="AN156" s="253"/>
      <c r="AO156" s="253"/>
      <c r="AP156" s="253"/>
      <c r="AQ156" s="253"/>
    </row>
    <row r="157" spans="1:43" s="255" customFormat="1" ht="15" x14ac:dyDescent="0.2">
      <c r="A157" s="253"/>
      <c r="B157" s="254"/>
      <c r="C157" s="253"/>
      <c r="D157" s="253"/>
      <c r="E157" s="253"/>
      <c r="F157" s="253"/>
      <c r="G157" s="253"/>
      <c r="H157" s="253"/>
      <c r="I157" s="253"/>
      <c r="J157" s="253"/>
      <c r="K157" s="253"/>
      <c r="L157" s="253"/>
      <c r="M157" s="253"/>
      <c r="N157" s="253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 s="253"/>
      <c r="AI157" s="253"/>
      <c r="AJ157" s="253"/>
      <c r="AK157" s="253"/>
      <c r="AL157" s="253"/>
      <c r="AM157" s="253"/>
      <c r="AN157" s="253"/>
      <c r="AO157" s="253"/>
      <c r="AP157" s="253"/>
      <c r="AQ157" s="253"/>
    </row>
    <row r="158" spans="1:43" s="255" customFormat="1" ht="15" x14ac:dyDescent="0.2">
      <c r="A158" s="253"/>
      <c r="B158" s="254"/>
      <c r="C158" s="253"/>
      <c r="D158" s="253"/>
      <c r="E158" s="253"/>
      <c r="F158" s="253"/>
      <c r="G158" s="253"/>
      <c r="H158" s="253"/>
      <c r="I158" s="253"/>
      <c r="J158" s="253"/>
      <c r="K158" s="253"/>
      <c r="L158" s="253"/>
      <c r="M158" s="253"/>
      <c r="N158" s="253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 s="253"/>
      <c r="AI158" s="253"/>
      <c r="AJ158" s="253"/>
      <c r="AK158" s="253"/>
      <c r="AL158" s="253"/>
      <c r="AM158" s="253"/>
      <c r="AN158" s="253"/>
      <c r="AO158" s="253"/>
      <c r="AP158" s="253"/>
      <c r="AQ158" s="253"/>
    </row>
    <row r="159" spans="1:43" s="255" customFormat="1" ht="15" x14ac:dyDescent="0.2">
      <c r="A159" s="253"/>
      <c r="B159" s="254"/>
      <c r="C159" s="253"/>
      <c r="D159" s="253"/>
      <c r="E159" s="253"/>
      <c r="F159" s="253"/>
      <c r="G159" s="253"/>
      <c r="H159" s="253"/>
      <c r="I159" s="253"/>
      <c r="J159" s="253"/>
      <c r="K159" s="253"/>
      <c r="L159" s="253"/>
      <c r="M159" s="253"/>
      <c r="N159" s="253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 s="253"/>
      <c r="AI159" s="253"/>
      <c r="AJ159" s="253"/>
      <c r="AK159" s="253"/>
      <c r="AL159" s="253"/>
      <c r="AM159" s="253"/>
      <c r="AN159" s="253"/>
      <c r="AO159" s="253"/>
      <c r="AP159" s="253"/>
      <c r="AQ159" s="253"/>
    </row>
    <row r="160" spans="1:43" s="255" customFormat="1" ht="15" x14ac:dyDescent="0.2">
      <c r="A160" s="253"/>
      <c r="B160" s="254"/>
      <c r="C160" s="253"/>
      <c r="D160" s="253"/>
      <c r="E160" s="253"/>
      <c r="F160" s="253"/>
      <c r="G160" s="253"/>
      <c r="H160" s="253"/>
      <c r="I160" s="253"/>
      <c r="J160" s="253"/>
      <c r="K160" s="253"/>
      <c r="L160" s="253"/>
      <c r="M160" s="253"/>
      <c r="N160" s="253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 s="253"/>
      <c r="AI160" s="253"/>
      <c r="AJ160" s="253"/>
      <c r="AK160" s="253"/>
      <c r="AL160" s="253"/>
      <c r="AM160" s="253"/>
      <c r="AN160" s="253"/>
      <c r="AO160" s="253"/>
      <c r="AP160" s="253"/>
      <c r="AQ160" s="253"/>
    </row>
    <row r="161" spans="1:43" s="255" customFormat="1" ht="15" x14ac:dyDescent="0.2">
      <c r="A161" s="253"/>
      <c r="B161" s="254"/>
      <c r="C161" s="253"/>
      <c r="D161" s="253"/>
      <c r="E161" s="253"/>
      <c r="F161" s="253"/>
      <c r="G161" s="253"/>
      <c r="H161" s="253"/>
      <c r="I161" s="253"/>
      <c r="J161" s="253"/>
      <c r="K161" s="253"/>
      <c r="L161" s="253"/>
      <c r="M161" s="253"/>
      <c r="N161" s="253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 s="253"/>
      <c r="AI161" s="253"/>
      <c r="AJ161" s="253"/>
      <c r="AK161" s="253"/>
      <c r="AL161" s="253"/>
      <c r="AM161" s="253"/>
      <c r="AN161" s="253"/>
      <c r="AO161" s="253"/>
      <c r="AP161" s="253"/>
      <c r="AQ161" s="253"/>
    </row>
    <row r="162" spans="1:43" s="255" customFormat="1" ht="15" x14ac:dyDescent="0.2">
      <c r="A162" s="253"/>
      <c r="B162" s="254"/>
      <c r="C162" s="253"/>
      <c r="D162" s="253"/>
      <c r="E162" s="253"/>
      <c r="F162" s="253"/>
      <c r="G162" s="253"/>
      <c r="H162" s="253"/>
      <c r="I162" s="253"/>
      <c r="J162" s="253"/>
      <c r="K162" s="253"/>
      <c r="L162" s="253"/>
      <c r="M162" s="253"/>
      <c r="N162" s="253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 s="253"/>
      <c r="AI162" s="253"/>
      <c r="AJ162" s="253"/>
      <c r="AK162" s="253"/>
      <c r="AL162" s="253"/>
      <c r="AM162" s="253"/>
      <c r="AN162" s="253"/>
      <c r="AO162" s="253"/>
      <c r="AP162" s="253"/>
      <c r="AQ162" s="253"/>
    </row>
    <row r="163" spans="1:43" s="255" customFormat="1" ht="15" x14ac:dyDescent="0.2">
      <c r="A163" s="253"/>
      <c r="B163" s="254"/>
      <c r="C163" s="253"/>
      <c r="D163" s="253"/>
      <c r="E163" s="253"/>
      <c r="F163" s="253"/>
      <c r="G163" s="253"/>
      <c r="H163" s="253"/>
      <c r="I163" s="253"/>
      <c r="J163" s="253"/>
      <c r="K163" s="253"/>
      <c r="L163" s="253"/>
      <c r="M163" s="253"/>
      <c r="N163" s="25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 s="253"/>
      <c r="AI163" s="253"/>
      <c r="AJ163" s="253"/>
      <c r="AK163" s="253"/>
      <c r="AL163" s="253"/>
      <c r="AM163" s="253"/>
      <c r="AN163" s="253"/>
      <c r="AO163" s="253"/>
      <c r="AP163" s="253"/>
      <c r="AQ163" s="253"/>
    </row>
    <row r="164" spans="1:43" s="255" customFormat="1" ht="15" x14ac:dyDescent="0.2">
      <c r="A164" s="253"/>
      <c r="B164" s="254"/>
      <c r="C164" s="253"/>
      <c r="D164" s="253"/>
      <c r="E164" s="253"/>
      <c r="F164" s="253"/>
      <c r="G164" s="253"/>
      <c r="H164" s="253"/>
      <c r="I164" s="253"/>
      <c r="J164" s="253"/>
      <c r="K164" s="253"/>
      <c r="L164" s="253"/>
      <c r="M164" s="253"/>
      <c r="N164" s="253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</row>
    <row r="165" spans="1:43" s="255" customFormat="1" ht="15" x14ac:dyDescent="0.2">
      <c r="A165" s="253"/>
      <c r="B165" s="254"/>
      <c r="C165" s="253"/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3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</row>
    <row r="166" spans="1:43" s="255" customFormat="1" ht="15" x14ac:dyDescent="0.2">
      <c r="A166" s="253"/>
      <c r="B166" s="254"/>
      <c r="C166" s="253"/>
      <c r="D166" s="253"/>
      <c r="E166" s="253"/>
      <c r="F166" s="253"/>
      <c r="G166" s="253"/>
      <c r="H166" s="253"/>
      <c r="I166" s="253"/>
      <c r="J166" s="253"/>
      <c r="K166" s="253"/>
      <c r="L166" s="253"/>
      <c r="M166" s="253"/>
      <c r="N166" s="253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</row>
    <row r="167" spans="1:43" s="255" customFormat="1" ht="15" x14ac:dyDescent="0.2">
      <c r="A167" s="253"/>
      <c r="B167" s="254"/>
      <c r="C167" s="253"/>
      <c r="D167" s="253"/>
      <c r="E167" s="253"/>
      <c r="F167" s="253"/>
      <c r="G167" s="253"/>
      <c r="H167" s="253"/>
      <c r="I167" s="253"/>
      <c r="J167" s="253"/>
      <c r="K167" s="253"/>
      <c r="L167" s="253"/>
      <c r="M167" s="253"/>
      <c r="N167" s="253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</row>
    <row r="168" spans="1:43" s="255" customFormat="1" ht="15" x14ac:dyDescent="0.2">
      <c r="A168" s="253"/>
      <c r="B168" s="254"/>
      <c r="C168" s="253"/>
      <c r="D168" s="253"/>
      <c r="E168" s="253"/>
      <c r="F168" s="253"/>
      <c r="G168" s="253"/>
      <c r="H168" s="253"/>
      <c r="I168" s="253"/>
      <c r="J168" s="253"/>
      <c r="K168" s="253"/>
      <c r="L168" s="253"/>
      <c r="M168" s="253"/>
      <c r="N168" s="253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 s="253"/>
      <c r="AI168" s="253"/>
      <c r="AJ168" s="253"/>
      <c r="AK168" s="253"/>
      <c r="AL168" s="253"/>
      <c r="AM168" s="253"/>
      <c r="AN168" s="253"/>
      <c r="AO168" s="253"/>
      <c r="AP168" s="253"/>
      <c r="AQ168" s="253"/>
    </row>
    <row r="169" spans="1:43" s="255" customFormat="1" ht="15" x14ac:dyDescent="0.2">
      <c r="A169" s="253"/>
      <c r="B169" s="254"/>
      <c r="C169" s="253"/>
      <c r="D169" s="253"/>
      <c r="E169" s="253"/>
      <c r="F169" s="253"/>
      <c r="G169" s="253"/>
      <c r="H169" s="253"/>
      <c r="I169" s="253"/>
      <c r="J169" s="253"/>
      <c r="K169" s="253"/>
      <c r="L169" s="253"/>
      <c r="M169" s="253"/>
      <c r="N169" s="253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 s="253"/>
      <c r="AI169" s="253"/>
      <c r="AJ169" s="253"/>
      <c r="AK169" s="253"/>
      <c r="AL169" s="253"/>
      <c r="AM169" s="253"/>
      <c r="AN169" s="253"/>
      <c r="AO169" s="253"/>
      <c r="AP169" s="253"/>
      <c r="AQ169" s="253"/>
    </row>
    <row r="170" spans="1:43" s="255" customFormat="1" ht="15" x14ac:dyDescent="0.2">
      <c r="A170" s="253"/>
      <c r="B170" s="254"/>
      <c r="C170" s="253"/>
      <c r="D170" s="253"/>
      <c r="E170" s="253"/>
      <c r="F170" s="253"/>
      <c r="G170" s="253"/>
      <c r="H170" s="253"/>
      <c r="I170" s="253"/>
      <c r="J170" s="253"/>
      <c r="K170" s="253"/>
      <c r="L170" s="253"/>
      <c r="M170" s="253"/>
      <c r="N170" s="253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 s="253"/>
      <c r="AI170" s="253"/>
      <c r="AJ170" s="253"/>
      <c r="AK170" s="253"/>
      <c r="AL170" s="253"/>
      <c r="AM170" s="253"/>
      <c r="AN170" s="253"/>
      <c r="AO170" s="253"/>
      <c r="AP170" s="253"/>
      <c r="AQ170" s="253"/>
    </row>
    <row r="171" spans="1:43" s="255" customFormat="1" ht="15" x14ac:dyDescent="0.2">
      <c r="A171" s="253"/>
      <c r="B171" s="254"/>
      <c r="C171" s="253"/>
      <c r="D171" s="253"/>
      <c r="E171" s="253"/>
      <c r="F171" s="253"/>
      <c r="G171" s="253"/>
      <c r="H171" s="253"/>
      <c r="I171" s="253"/>
      <c r="J171" s="253"/>
      <c r="K171" s="253"/>
      <c r="L171" s="253"/>
      <c r="M171" s="253"/>
      <c r="N171" s="253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 s="253"/>
      <c r="AI171" s="253"/>
      <c r="AJ171" s="253"/>
      <c r="AK171" s="253"/>
      <c r="AL171" s="253"/>
      <c r="AM171" s="253"/>
      <c r="AN171" s="253"/>
      <c r="AO171" s="253"/>
      <c r="AP171" s="253"/>
      <c r="AQ171" s="253"/>
    </row>
    <row r="172" spans="1:43" s="255" customFormat="1" ht="15" x14ac:dyDescent="0.2">
      <c r="A172" s="253"/>
      <c r="B172" s="254"/>
      <c r="C172" s="253"/>
      <c r="D172" s="253"/>
      <c r="E172" s="253"/>
      <c r="F172" s="253"/>
      <c r="G172" s="253"/>
      <c r="H172" s="253"/>
      <c r="I172" s="253"/>
      <c r="J172" s="253"/>
      <c r="K172" s="253"/>
      <c r="L172" s="253"/>
      <c r="M172" s="253"/>
      <c r="N172" s="253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 s="253"/>
      <c r="AI172" s="253"/>
      <c r="AJ172" s="253"/>
      <c r="AK172" s="253"/>
      <c r="AL172" s="253"/>
      <c r="AM172" s="253"/>
      <c r="AN172" s="253"/>
      <c r="AO172" s="253"/>
      <c r="AP172" s="253"/>
      <c r="AQ172" s="253"/>
    </row>
    <row r="173" spans="1:43" s="255" customFormat="1" ht="15" x14ac:dyDescent="0.2">
      <c r="A173" s="253"/>
      <c r="B173" s="254"/>
      <c r="C173" s="253"/>
      <c r="D173" s="253"/>
      <c r="E173" s="253"/>
      <c r="F173" s="253"/>
      <c r="G173" s="253"/>
      <c r="H173" s="253"/>
      <c r="I173" s="253"/>
      <c r="J173" s="253"/>
      <c r="K173" s="253"/>
      <c r="L173" s="253"/>
      <c r="M173" s="253"/>
      <c r="N173" s="25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 s="253"/>
      <c r="AI173" s="253"/>
      <c r="AJ173" s="253"/>
      <c r="AK173" s="253"/>
      <c r="AL173" s="253"/>
      <c r="AM173" s="253"/>
      <c r="AN173" s="253"/>
      <c r="AO173" s="253"/>
      <c r="AP173" s="253"/>
      <c r="AQ173" s="253"/>
    </row>
    <row r="174" spans="1:43" s="255" customFormat="1" ht="15" x14ac:dyDescent="0.2">
      <c r="A174" s="253"/>
      <c r="B174" s="254"/>
      <c r="C174" s="253"/>
      <c r="D174" s="253"/>
      <c r="E174" s="253"/>
      <c r="F174" s="253"/>
      <c r="G174" s="253"/>
      <c r="H174" s="253"/>
      <c r="I174" s="253"/>
      <c r="J174" s="253"/>
      <c r="K174" s="253"/>
      <c r="L174" s="253"/>
      <c r="M174" s="253"/>
      <c r="N174" s="253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 s="253"/>
      <c r="AI174" s="253"/>
      <c r="AJ174" s="253"/>
      <c r="AK174" s="253"/>
      <c r="AL174" s="253"/>
      <c r="AM174" s="253"/>
      <c r="AN174" s="253"/>
      <c r="AO174" s="253"/>
      <c r="AP174" s="253"/>
      <c r="AQ174" s="253"/>
    </row>
    <row r="175" spans="1:43" s="255" customFormat="1" ht="15" x14ac:dyDescent="0.2">
      <c r="A175" s="253"/>
      <c r="B175" s="254"/>
      <c r="C175" s="253"/>
      <c r="D175" s="253"/>
      <c r="E175" s="253"/>
      <c r="F175" s="253"/>
      <c r="G175" s="253"/>
      <c r="H175" s="253"/>
      <c r="I175" s="253"/>
      <c r="J175" s="253"/>
      <c r="K175" s="253"/>
      <c r="L175" s="253"/>
      <c r="M175" s="253"/>
      <c r="N175" s="253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 s="253"/>
      <c r="AI175" s="253"/>
      <c r="AJ175" s="253"/>
      <c r="AK175" s="253"/>
      <c r="AL175" s="253"/>
      <c r="AM175" s="253"/>
      <c r="AN175" s="253"/>
      <c r="AO175" s="253"/>
      <c r="AP175" s="253"/>
      <c r="AQ175" s="253"/>
    </row>
    <row r="176" spans="1:43" s="255" customFormat="1" ht="15" x14ac:dyDescent="0.2">
      <c r="A176" s="253"/>
      <c r="B176" s="254"/>
      <c r="C176" s="253"/>
      <c r="D176" s="253"/>
      <c r="E176" s="253"/>
      <c r="F176" s="253"/>
      <c r="G176" s="253"/>
      <c r="H176" s="253"/>
      <c r="I176" s="253"/>
      <c r="J176" s="253"/>
      <c r="K176" s="253"/>
      <c r="L176" s="253"/>
      <c r="M176" s="253"/>
      <c r="N176" s="253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 s="253"/>
      <c r="AI176" s="253"/>
      <c r="AJ176" s="253"/>
      <c r="AK176" s="253"/>
      <c r="AL176" s="253"/>
      <c r="AM176" s="253"/>
      <c r="AN176" s="253"/>
      <c r="AO176" s="253"/>
      <c r="AP176" s="253"/>
      <c r="AQ176" s="253"/>
    </row>
    <row r="177" spans="1:43" s="255" customFormat="1" ht="15" x14ac:dyDescent="0.2">
      <c r="A177" s="253"/>
      <c r="B177" s="254"/>
      <c r="C177" s="253"/>
      <c r="D177" s="253"/>
      <c r="E177" s="253"/>
      <c r="F177" s="253"/>
      <c r="G177" s="253"/>
      <c r="H177" s="253"/>
      <c r="I177" s="253"/>
      <c r="J177" s="253"/>
      <c r="K177" s="253"/>
      <c r="L177" s="253"/>
      <c r="M177" s="253"/>
      <c r="N177" s="253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 s="253"/>
      <c r="AI177" s="253"/>
      <c r="AJ177" s="253"/>
      <c r="AK177" s="253"/>
      <c r="AL177" s="253"/>
      <c r="AM177" s="253"/>
      <c r="AN177" s="253"/>
      <c r="AO177" s="253"/>
      <c r="AP177" s="253"/>
      <c r="AQ177" s="253"/>
    </row>
    <row r="178" spans="1:43" s="255" customFormat="1" ht="15" x14ac:dyDescent="0.2">
      <c r="A178" s="253"/>
      <c r="B178" s="254"/>
      <c r="C178" s="253"/>
      <c r="D178" s="253"/>
      <c r="E178" s="253"/>
      <c r="F178" s="253"/>
      <c r="G178" s="253"/>
      <c r="H178" s="253"/>
      <c r="I178" s="253"/>
      <c r="J178" s="253"/>
      <c r="K178" s="253"/>
      <c r="L178" s="253"/>
      <c r="M178" s="253"/>
      <c r="N178" s="253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 s="253"/>
      <c r="AI178" s="253"/>
      <c r="AJ178" s="253"/>
      <c r="AK178" s="253"/>
      <c r="AL178" s="253"/>
      <c r="AM178" s="253"/>
      <c r="AN178" s="253"/>
      <c r="AO178" s="253"/>
      <c r="AP178" s="253"/>
      <c r="AQ178" s="253"/>
    </row>
    <row r="179" spans="1:43" s="255" customFormat="1" ht="15" x14ac:dyDescent="0.2">
      <c r="A179" s="253"/>
      <c r="B179" s="254"/>
      <c r="C179" s="253"/>
      <c r="D179" s="253"/>
      <c r="E179" s="253"/>
      <c r="F179" s="253"/>
      <c r="G179" s="253"/>
      <c r="H179" s="253"/>
      <c r="I179" s="253"/>
      <c r="J179" s="253"/>
      <c r="K179" s="253"/>
      <c r="L179" s="253"/>
      <c r="M179" s="253"/>
      <c r="N179" s="253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</row>
    <row r="180" spans="1:43" s="255" customFormat="1" ht="15" x14ac:dyDescent="0.2">
      <c r="A180" s="253"/>
      <c r="B180" s="254"/>
      <c r="C180" s="253"/>
      <c r="D180" s="253"/>
      <c r="E180" s="253"/>
      <c r="F180" s="253"/>
      <c r="G180" s="253"/>
      <c r="H180" s="253"/>
      <c r="I180" s="253"/>
      <c r="J180" s="253"/>
      <c r="K180" s="253"/>
      <c r="L180" s="253"/>
      <c r="M180" s="253"/>
      <c r="N180" s="253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 s="253"/>
      <c r="AI180" s="253"/>
      <c r="AJ180" s="253"/>
      <c r="AK180" s="253"/>
      <c r="AL180" s="253"/>
      <c r="AM180" s="253"/>
      <c r="AN180" s="253"/>
      <c r="AO180" s="253"/>
      <c r="AP180" s="253"/>
      <c r="AQ180" s="253"/>
    </row>
    <row r="181" spans="1:43" s="255" customFormat="1" ht="15" x14ac:dyDescent="0.2">
      <c r="A181" s="253"/>
      <c r="B181" s="254"/>
      <c r="C181" s="253"/>
      <c r="D181" s="253"/>
      <c r="E181" s="253"/>
      <c r="F181" s="253"/>
      <c r="G181" s="253"/>
      <c r="H181" s="253"/>
      <c r="I181" s="253"/>
      <c r="J181" s="253"/>
      <c r="K181" s="253"/>
      <c r="L181" s="253"/>
      <c r="M181" s="253"/>
      <c r="N181" s="253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 s="253"/>
      <c r="AI181" s="253"/>
      <c r="AJ181" s="253"/>
      <c r="AK181" s="253"/>
      <c r="AL181" s="253"/>
      <c r="AM181" s="253"/>
      <c r="AN181" s="253"/>
      <c r="AO181" s="253"/>
      <c r="AP181" s="253"/>
      <c r="AQ181" s="253"/>
    </row>
    <row r="182" spans="1:43" s="255" customFormat="1" ht="15" x14ac:dyDescent="0.2">
      <c r="A182" s="253"/>
      <c r="B182" s="254"/>
      <c r="C182" s="253"/>
      <c r="D182" s="253"/>
      <c r="E182" s="253"/>
      <c r="F182" s="253"/>
      <c r="G182" s="253"/>
      <c r="H182" s="253"/>
      <c r="I182" s="253"/>
      <c r="J182" s="253"/>
      <c r="K182" s="253"/>
      <c r="L182" s="253"/>
      <c r="M182" s="253"/>
      <c r="N182" s="253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 s="253"/>
      <c r="AI182" s="253"/>
      <c r="AJ182" s="253"/>
      <c r="AK182" s="253"/>
      <c r="AL182" s="253"/>
      <c r="AM182" s="253"/>
      <c r="AN182" s="253"/>
      <c r="AO182" s="253"/>
      <c r="AP182" s="253"/>
      <c r="AQ182" s="253"/>
    </row>
    <row r="183" spans="1:43" s="255" customFormat="1" ht="15" x14ac:dyDescent="0.2">
      <c r="A183" s="253"/>
      <c r="B183" s="254"/>
      <c r="C183" s="253"/>
      <c r="D183" s="253"/>
      <c r="E183" s="253"/>
      <c r="F183" s="253"/>
      <c r="G183" s="253"/>
      <c r="H183" s="253"/>
      <c r="I183" s="253"/>
      <c r="J183" s="253"/>
      <c r="K183" s="253"/>
      <c r="L183" s="253"/>
      <c r="M183" s="253"/>
      <c r="N183" s="25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 s="253"/>
      <c r="AI183" s="253"/>
      <c r="AJ183" s="253"/>
      <c r="AK183" s="253"/>
      <c r="AL183" s="253"/>
      <c r="AM183" s="253"/>
      <c r="AN183" s="253"/>
      <c r="AO183" s="253"/>
      <c r="AP183" s="253"/>
      <c r="AQ183" s="253"/>
    </row>
    <row r="184" spans="1:43" s="255" customFormat="1" ht="15" x14ac:dyDescent="0.2">
      <c r="A184" s="253"/>
      <c r="B184" s="254"/>
      <c r="C184" s="253"/>
      <c r="D184" s="253"/>
      <c r="E184" s="253"/>
      <c r="F184" s="253"/>
      <c r="G184" s="253"/>
      <c r="H184" s="253"/>
      <c r="I184" s="253"/>
      <c r="J184" s="253"/>
      <c r="K184" s="253"/>
      <c r="L184" s="253"/>
      <c r="M184" s="253"/>
      <c r="N184" s="253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 s="253"/>
      <c r="AI184" s="253"/>
      <c r="AJ184" s="253"/>
      <c r="AK184" s="253"/>
      <c r="AL184" s="253"/>
      <c r="AM184" s="253"/>
      <c r="AN184" s="253"/>
      <c r="AO184" s="253"/>
      <c r="AP184" s="253"/>
      <c r="AQ184" s="253"/>
    </row>
    <row r="185" spans="1:43" s="255" customFormat="1" ht="15" x14ac:dyDescent="0.2">
      <c r="A185" s="253"/>
      <c r="B185" s="254"/>
      <c r="C185" s="253"/>
      <c r="D185" s="253"/>
      <c r="E185" s="253"/>
      <c r="F185" s="253"/>
      <c r="G185" s="253"/>
      <c r="H185" s="253"/>
      <c r="I185" s="253"/>
      <c r="J185" s="253"/>
      <c r="K185" s="253"/>
      <c r="L185" s="253"/>
      <c r="M185" s="253"/>
      <c r="N185" s="253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</row>
    <row r="186" spans="1:43" s="255" customFormat="1" ht="15" x14ac:dyDescent="0.2">
      <c r="A186" s="253"/>
      <c r="B186" s="254"/>
      <c r="C186" s="253"/>
      <c r="D186" s="253"/>
      <c r="E186" s="253"/>
      <c r="F186" s="253"/>
      <c r="G186" s="253"/>
      <c r="H186" s="253"/>
      <c r="I186" s="253"/>
      <c r="J186" s="253"/>
      <c r="K186" s="253"/>
      <c r="L186" s="253"/>
      <c r="M186" s="253"/>
      <c r="N186" s="253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</row>
    <row r="187" spans="1:43" s="255" customFormat="1" ht="15" x14ac:dyDescent="0.2">
      <c r="A187" s="253"/>
      <c r="B187" s="254"/>
      <c r="C187" s="253"/>
      <c r="D187" s="253"/>
      <c r="E187" s="253"/>
      <c r="F187" s="253"/>
      <c r="G187" s="253"/>
      <c r="H187" s="253"/>
      <c r="I187" s="253"/>
      <c r="J187" s="253"/>
      <c r="K187" s="253"/>
      <c r="L187" s="253"/>
      <c r="M187" s="253"/>
      <c r="N187" s="253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 s="253"/>
      <c r="AI187" s="253"/>
      <c r="AJ187" s="253"/>
      <c r="AK187" s="253"/>
      <c r="AL187" s="253"/>
      <c r="AM187" s="253"/>
      <c r="AN187" s="253"/>
      <c r="AO187" s="253"/>
      <c r="AP187" s="253"/>
      <c r="AQ187" s="253"/>
    </row>
    <row r="188" spans="1:43" s="255" customFormat="1" ht="15" x14ac:dyDescent="0.2">
      <c r="A188" s="253"/>
      <c r="B188" s="254"/>
      <c r="C188" s="253"/>
      <c r="D188" s="253"/>
      <c r="E188" s="253"/>
      <c r="F188" s="253"/>
      <c r="G188" s="253"/>
      <c r="H188" s="253"/>
      <c r="I188" s="253"/>
      <c r="J188" s="253"/>
      <c r="K188" s="253"/>
      <c r="L188" s="253"/>
      <c r="M188" s="253"/>
      <c r="N188" s="253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 s="253"/>
      <c r="AI188" s="253"/>
      <c r="AJ188" s="253"/>
      <c r="AK188" s="253"/>
      <c r="AL188" s="253"/>
      <c r="AM188" s="253"/>
      <c r="AN188" s="253"/>
      <c r="AO188" s="253"/>
      <c r="AP188" s="253"/>
      <c r="AQ188" s="253"/>
    </row>
    <row r="189" spans="1:43" s="255" customFormat="1" ht="15" x14ac:dyDescent="0.2">
      <c r="A189" s="253"/>
      <c r="B189" s="254"/>
      <c r="C189" s="253"/>
      <c r="D189" s="253"/>
      <c r="E189" s="253"/>
      <c r="F189" s="253"/>
      <c r="G189" s="253"/>
      <c r="H189" s="253"/>
      <c r="I189" s="253"/>
      <c r="J189" s="253"/>
      <c r="K189" s="253"/>
      <c r="L189" s="253"/>
      <c r="M189" s="253"/>
      <c r="N189" s="253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 s="253"/>
      <c r="AI189" s="253"/>
      <c r="AJ189" s="253"/>
      <c r="AK189" s="253"/>
      <c r="AL189" s="253"/>
      <c r="AM189" s="253"/>
      <c r="AN189" s="253"/>
      <c r="AO189" s="253"/>
      <c r="AP189" s="253"/>
      <c r="AQ189" s="253"/>
    </row>
    <row r="190" spans="1:43" s="255" customFormat="1" ht="15" x14ac:dyDescent="0.2">
      <c r="A190" s="253"/>
      <c r="B190" s="254"/>
      <c r="C190" s="253"/>
      <c r="D190" s="253"/>
      <c r="E190" s="253"/>
      <c r="F190" s="253"/>
      <c r="G190" s="253"/>
      <c r="H190" s="253"/>
      <c r="I190" s="253"/>
      <c r="J190" s="253"/>
      <c r="K190" s="253"/>
      <c r="L190" s="253"/>
      <c r="M190" s="253"/>
      <c r="N190" s="253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 s="253"/>
      <c r="AI190" s="253"/>
      <c r="AJ190" s="253"/>
      <c r="AK190" s="253"/>
      <c r="AL190" s="253"/>
      <c r="AM190" s="253"/>
      <c r="AN190" s="253"/>
      <c r="AO190" s="253"/>
      <c r="AP190" s="253"/>
      <c r="AQ190" s="253"/>
    </row>
    <row r="191" spans="1:43" s="255" customFormat="1" ht="15" x14ac:dyDescent="0.2">
      <c r="A191" s="253"/>
      <c r="B191" s="254"/>
      <c r="C191" s="253"/>
      <c r="D191" s="253"/>
      <c r="E191" s="253"/>
      <c r="F191" s="253"/>
      <c r="G191" s="253"/>
      <c r="H191" s="253"/>
      <c r="I191" s="253"/>
      <c r="J191" s="253"/>
      <c r="K191" s="253"/>
      <c r="L191" s="253"/>
      <c r="M191" s="253"/>
      <c r="N191" s="253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 s="253"/>
      <c r="AI191" s="253"/>
      <c r="AJ191" s="253"/>
      <c r="AK191" s="253"/>
      <c r="AL191" s="253"/>
      <c r="AM191" s="253"/>
      <c r="AN191" s="253"/>
      <c r="AO191" s="253"/>
      <c r="AP191" s="253"/>
      <c r="AQ191" s="253"/>
    </row>
    <row r="192" spans="1:43" s="255" customFormat="1" ht="15" x14ac:dyDescent="0.2">
      <c r="A192" s="253"/>
      <c r="B192" s="254"/>
      <c r="C192" s="253"/>
      <c r="D192" s="253"/>
      <c r="E192" s="253"/>
      <c r="F192" s="253"/>
      <c r="G192" s="253"/>
      <c r="H192" s="253"/>
      <c r="I192" s="253"/>
      <c r="J192" s="253"/>
      <c r="K192" s="253"/>
      <c r="L192" s="253"/>
      <c r="M192" s="253"/>
      <c r="N192" s="253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 s="253"/>
      <c r="AI192" s="253"/>
      <c r="AJ192" s="253"/>
      <c r="AK192" s="253"/>
      <c r="AL192" s="253"/>
      <c r="AM192" s="253"/>
      <c r="AN192" s="253"/>
      <c r="AO192" s="253"/>
      <c r="AP192" s="253"/>
      <c r="AQ192" s="253"/>
    </row>
    <row r="193" spans="1:43" s="255" customFormat="1" ht="15" x14ac:dyDescent="0.2">
      <c r="A193" s="253"/>
      <c r="B193" s="254"/>
      <c r="C193" s="253"/>
      <c r="D193" s="253"/>
      <c r="E193" s="253"/>
      <c r="F193" s="253"/>
      <c r="G193" s="253"/>
      <c r="H193" s="253"/>
      <c r="I193" s="253"/>
      <c r="J193" s="253"/>
      <c r="K193" s="253"/>
      <c r="L193" s="253"/>
      <c r="M193" s="253"/>
      <c r="N193" s="25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 s="253"/>
      <c r="AI193" s="253"/>
      <c r="AJ193" s="253"/>
      <c r="AK193" s="253"/>
      <c r="AL193" s="253"/>
      <c r="AM193" s="253"/>
      <c r="AN193" s="253"/>
      <c r="AO193" s="253"/>
      <c r="AP193" s="253"/>
      <c r="AQ193" s="253"/>
    </row>
    <row r="194" spans="1:43" s="255" customFormat="1" ht="15" x14ac:dyDescent="0.2">
      <c r="A194" s="253"/>
      <c r="B194" s="254"/>
      <c r="C194" s="253"/>
      <c r="D194" s="253"/>
      <c r="E194" s="253"/>
      <c r="F194" s="253"/>
      <c r="G194" s="253"/>
      <c r="H194" s="253"/>
      <c r="I194" s="253"/>
      <c r="J194" s="253"/>
      <c r="K194" s="253"/>
      <c r="L194" s="253"/>
      <c r="M194" s="253"/>
      <c r="N194" s="253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</row>
    <row r="195" spans="1:43" s="255" customFormat="1" ht="15" x14ac:dyDescent="0.2">
      <c r="A195" s="253"/>
      <c r="B195" s="254"/>
      <c r="C195" s="253"/>
      <c r="D195" s="253"/>
      <c r="E195" s="253"/>
      <c r="F195" s="253"/>
      <c r="G195" s="253"/>
      <c r="H195" s="253"/>
      <c r="I195" s="253"/>
      <c r="J195" s="253"/>
      <c r="K195" s="253"/>
      <c r="L195" s="253"/>
      <c r="M195" s="253"/>
      <c r="N195" s="253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 s="253"/>
      <c r="AI195" s="253"/>
      <c r="AJ195" s="253"/>
      <c r="AK195" s="253"/>
      <c r="AL195" s="253"/>
      <c r="AM195" s="253"/>
      <c r="AN195" s="253"/>
      <c r="AO195" s="253"/>
      <c r="AP195" s="253"/>
      <c r="AQ195" s="253"/>
    </row>
    <row r="196" spans="1:43" s="255" customFormat="1" ht="15" x14ac:dyDescent="0.2">
      <c r="A196" s="253"/>
      <c r="B196" s="254"/>
      <c r="C196" s="253"/>
      <c r="D196" s="253"/>
      <c r="E196" s="253"/>
      <c r="F196" s="253"/>
      <c r="G196" s="253"/>
      <c r="H196" s="253"/>
      <c r="I196" s="253"/>
      <c r="J196" s="253"/>
      <c r="K196" s="253"/>
      <c r="L196" s="253"/>
      <c r="M196" s="253"/>
      <c r="N196" s="253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 s="253"/>
      <c r="AI196" s="253"/>
      <c r="AJ196" s="253"/>
      <c r="AK196" s="253"/>
      <c r="AL196" s="253"/>
      <c r="AM196" s="253"/>
      <c r="AN196" s="253"/>
      <c r="AO196" s="253"/>
      <c r="AP196" s="253"/>
      <c r="AQ196" s="253"/>
    </row>
    <row r="197" spans="1:43" s="255" customFormat="1" ht="15" x14ac:dyDescent="0.2">
      <c r="A197" s="253"/>
      <c r="B197" s="254"/>
      <c r="C197" s="253"/>
      <c r="D197" s="253"/>
      <c r="E197" s="253"/>
      <c r="F197" s="253"/>
      <c r="G197" s="253"/>
      <c r="H197" s="253"/>
      <c r="I197" s="253"/>
      <c r="J197" s="253"/>
      <c r="K197" s="253"/>
      <c r="L197" s="253"/>
      <c r="M197" s="253"/>
      <c r="N197" s="253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 s="253"/>
      <c r="AI197" s="253"/>
      <c r="AJ197" s="253"/>
      <c r="AK197" s="253"/>
      <c r="AL197" s="253"/>
      <c r="AM197" s="253"/>
      <c r="AN197" s="253"/>
      <c r="AO197" s="253"/>
      <c r="AP197" s="253"/>
      <c r="AQ197" s="253"/>
    </row>
    <row r="198" spans="1:43" s="255" customFormat="1" ht="15" x14ac:dyDescent="0.2">
      <c r="A198" s="253"/>
      <c r="B198" s="254"/>
      <c r="C198" s="253"/>
      <c r="D198" s="253"/>
      <c r="E198" s="253"/>
      <c r="F198" s="253"/>
      <c r="G198" s="253"/>
      <c r="H198" s="253"/>
      <c r="I198" s="253"/>
      <c r="J198" s="253"/>
      <c r="K198" s="253"/>
      <c r="L198" s="253"/>
      <c r="M198" s="253"/>
      <c r="N198" s="253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 s="253"/>
      <c r="AI198" s="253"/>
      <c r="AJ198" s="253"/>
      <c r="AK198" s="253"/>
      <c r="AL198" s="253"/>
      <c r="AM198" s="253"/>
      <c r="AN198" s="253"/>
      <c r="AO198" s="253"/>
      <c r="AP198" s="253"/>
      <c r="AQ198" s="253"/>
    </row>
    <row r="199" spans="1:43" s="255" customFormat="1" ht="15" x14ac:dyDescent="0.2">
      <c r="A199" s="253"/>
      <c r="B199" s="254"/>
      <c r="C199" s="253"/>
      <c r="D199" s="253"/>
      <c r="E199" s="253"/>
      <c r="F199" s="253"/>
      <c r="G199" s="253"/>
      <c r="H199" s="253"/>
      <c r="I199" s="253"/>
      <c r="J199" s="253"/>
      <c r="K199" s="253"/>
      <c r="L199" s="253"/>
      <c r="M199" s="253"/>
      <c r="N199" s="253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 s="253"/>
      <c r="AI199" s="253"/>
      <c r="AJ199" s="253"/>
      <c r="AK199" s="253"/>
      <c r="AL199" s="253"/>
      <c r="AM199" s="253"/>
      <c r="AN199" s="253"/>
      <c r="AO199" s="253"/>
      <c r="AP199" s="253"/>
      <c r="AQ199" s="253"/>
    </row>
    <row r="200" spans="1:43" s="255" customFormat="1" ht="15" x14ac:dyDescent="0.2">
      <c r="A200" s="253"/>
      <c r="B200" s="254"/>
      <c r="C200" s="253"/>
      <c r="D200" s="253"/>
      <c r="E200" s="253"/>
      <c r="F200" s="253"/>
      <c r="G200" s="253"/>
      <c r="H200" s="253"/>
      <c r="I200" s="253"/>
      <c r="J200" s="253"/>
      <c r="K200" s="253"/>
      <c r="L200" s="253"/>
      <c r="M200" s="253"/>
      <c r="N200" s="253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 s="253"/>
      <c r="AI200" s="253"/>
      <c r="AJ200" s="253"/>
      <c r="AK200" s="253"/>
      <c r="AL200" s="253"/>
      <c r="AM200" s="253"/>
      <c r="AN200" s="253"/>
      <c r="AO200" s="253"/>
      <c r="AP200" s="253"/>
      <c r="AQ200" s="253"/>
    </row>
    <row r="201" spans="1:43" s="255" customFormat="1" ht="15" x14ac:dyDescent="0.2">
      <c r="A201" s="253"/>
      <c r="B201" s="254"/>
      <c r="C201" s="253"/>
      <c r="D201" s="253"/>
      <c r="E201" s="253"/>
      <c r="F201" s="253"/>
      <c r="G201" s="253"/>
      <c r="H201" s="253"/>
      <c r="I201" s="253"/>
      <c r="J201" s="253"/>
      <c r="K201" s="253"/>
      <c r="L201" s="253"/>
      <c r="M201" s="253"/>
      <c r="N201" s="253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 s="253"/>
      <c r="AI201" s="253"/>
      <c r="AJ201" s="253"/>
      <c r="AK201" s="253"/>
      <c r="AL201" s="253"/>
      <c r="AM201" s="253"/>
      <c r="AN201" s="253"/>
      <c r="AO201" s="253"/>
      <c r="AP201" s="253"/>
      <c r="AQ201" s="253"/>
    </row>
    <row r="202" spans="1:43" s="255" customFormat="1" ht="15" x14ac:dyDescent="0.2">
      <c r="A202" s="253"/>
      <c r="B202" s="254"/>
      <c r="C202" s="253"/>
      <c r="D202" s="253"/>
      <c r="E202" s="253"/>
      <c r="F202" s="253"/>
      <c r="G202" s="253"/>
      <c r="H202" s="253"/>
      <c r="I202" s="253"/>
      <c r="J202" s="253"/>
      <c r="K202" s="253"/>
      <c r="L202" s="253"/>
      <c r="M202" s="253"/>
      <c r="N202" s="253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 s="253"/>
      <c r="AI202" s="253"/>
      <c r="AJ202" s="253"/>
      <c r="AK202" s="253"/>
      <c r="AL202" s="253"/>
      <c r="AM202" s="253"/>
      <c r="AN202" s="253"/>
      <c r="AO202" s="253"/>
      <c r="AP202" s="253"/>
      <c r="AQ202" s="253"/>
    </row>
    <row r="203" spans="1:43" s="255" customFormat="1" ht="15" x14ac:dyDescent="0.2">
      <c r="A203" s="253"/>
      <c r="B203" s="254"/>
      <c r="C203" s="253"/>
      <c r="D203" s="253"/>
      <c r="E203" s="253"/>
      <c r="F203" s="253"/>
      <c r="G203" s="253"/>
      <c r="H203" s="253"/>
      <c r="I203" s="253"/>
      <c r="J203" s="253"/>
      <c r="K203" s="253"/>
      <c r="L203" s="253"/>
      <c r="M203" s="253"/>
      <c r="N203" s="25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 s="253"/>
      <c r="AI203" s="253"/>
      <c r="AJ203" s="253"/>
      <c r="AK203" s="253"/>
      <c r="AL203" s="253"/>
      <c r="AM203" s="253"/>
      <c r="AN203" s="253"/>
      <c r="AO203" s="253"/>
      <c r="AP203" s="253"/>
      <c r="AQ203" s="253"/>
    </row>
    <row r="204" spans="1:43" s="255" customFormat="1" ht="15" x14ac:dyDescent="0.2">
      <c r="A204" s="253"/>
      <c r="B204" s="254"/>
      <c r="C204" s="253"/>
      <c r="D204" s="253"/>
      <c r="E204" s="253"/>
      <c r="F204" s="253"/>
      <c r="G204" s="253"/>
      <c r="H204" s="253"/>
      <c r="I204" s="253"/>
      <c r="J204" s="253"/>
      <c r="K204" s="253"/>
      <c r="L204" s="253"/>
      <c r="M204" s="253"/>
      <c r="N204" s="253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 s="253"/>
      <c r="AI204" s="253"/>
      <c r="AJ204" s="253"/>
      <c r="AK204" s="253"/>
      <c r="AL204" s="253"/>
      <c r="AM204" s="253"/>
      <c r="AN204" s="253"/>
      <c r="AO204" s="253"/>
      <c r="AP204" s="253"/>
      <c r="AQ204" s="253"/>
    </row>
    <row r="205" spans="1:43" s="255" customFormat="1" ht="15" x14ac:dyDescent="0.2">
      <c r="A205" s="253"/>
      <c r="B205" s="254"/>
      <c r="C205" s="253"/>
      <c r="D205" s="253"/>
      <c r="E205" s="253"/>
      <c r="F205" s="253"/>
      <c r="G205" s="253"/>
      <c r="H205" s="253"/>
      <c r="I205" s="253"/>
      <c r="J205" s="253"/>
      <c r="K205" s="253"/>
      <c r="L205" s="253"/>
      <c r="M205" s="253"/>
      <c r="N205" s="253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 s="253"/>
      <c r="AI205" s="253"/>
      <c r="AJ205" s="253"/>
      <c r="AK205" s="253"/>
      <c r="AL205" s="253"/>
      <c r="AM205" s="253"/>
      <c r="AN205" s="253"/>
      <c r="AO205" s="253"/>
      <c r="AP205" s="253"/>
      <c r="AQ205" s="253"/>
    </row>
    <row r="206" spans="1:43" s="255" customFormat="1" ht="15" x14ac:dyDescent="0.2">
      <c r="A206" s="253"/>
      <c r="B206" s="254"/>
      <c r="C206" s="253"/>
      <c r="D206" s="253"/>
      <c r="E206" s="253"/>
      <c r="F206" s="253"/>
      <c r="G206" s="253"/>
      <c r="H206" s="253"/>
      <c r="I206" s="253"/>
      <c r="J206" s="253"/>
      <c r="K206" s="253"/>
      <c r="L206" s="253"/>
      <c r="M206" s="253"/>
      <c r="N206" s="253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 s="253"/>
      <c r="AI206" s="253"/>
      <c r="AJ206" s="253"/>
      <c r="AK206" s="253"/>
      <c r="AL206" s="253"/>
      <c r="AM206" s="253"/>
      <c r="AN206" s="253"/>
      <c r="AO206" s="253"/>
      <c r="AP206" s="253"/>
      <c r="AQ206" s="253"/>
    </row>
    <row r="207" spans="1:43" s="255" customFormat="1" ht="15" x14ac:dyDescent="0.2">
      <c r="A207" s="253"/>
      <c r="B207" s="254"/>
      <c r="C207" s="253"/>
      <c r="D207" s="253"/>
      <c r="E207" s="253"/>
      <c r="F207" s="253"/>
      <c r="G207" s="253"/>
      <c r="H207" s="253"/>
      <c r="I207" s="253"/>
      <c r="J207" s="253"/>
      <c r="K207" s="253"/>
      <c r="L207" s="253"/>
      <c r="M207" s="253"/>
      <c r="N207" s="253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 s="253"/>
      <c r="AI207" s="253"/>
      <c r="AJ207" s="253"/>
      <c r="AK207" s="253"/>
      <c r="AL207" s="253"/>
      <c r="AM207" s="253"/>
      <c r="AN207" s="253"/>
      <c r="AO207" s="253"/>
      <c r="AP207" s="253"/>
      <c r="AQ207" s="253"/>
    </row>
    <row r="208" spans="1:43" s="255" customFormat="1" ht="15" x14ac:dyDescent="0.2">
      <c r="A208" s="253"/>
      <c r="B208" s="254"/>
      <c r="C208" s="253"/>
      <c r="D208" s="253"/>
      <c r="E208" s="253"/>
      <c r="F208" s="253"/>
      <c r="G208" s="253"/>
      <c r="H208" s="253"/>
      <c r="I208" s="253"/>
      <c r="J208" s="253"/>
      <c r="K208" s="253"/>
      <c r="L208" s="253"/>
      <c r="M208" s="253"/>
      <c r="N208" s="253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 s="253"/>
      <c r="AI208" s="253"/>
      <c r="AJ208" s="253"/>
      <c r="AK208" s="253"/>
      <c r="AL208" s="253"/>
      <c r="AM208" s="253"/>
      <c r="AN208" s="253"/>
      <c r="AO208" s="253"/>
      <c r="AP208" s="253"/>
      <c r="AQ208" s="253"/>
    </row>
    <row r="209" spans="1:43" s="255" customFormat="1" ht="15" x14ac:dyDescent="0.2">
      <c r="A209" s="253"/>
      <c r="B209" s="254"/>
      <c r="C209" s="253"/>
      <c r="D209" s="253"/>
      <c r="E209" s="253"/>
      <c r="F209" s="253"/>
      <c r="G209" s="253"/>
      <c r="H209" s="253"/>
      <c r="I209" s="253"/>
      <c r="J209" s="253"/>
      <c r="K209" s="253"/>
      <c r="L209" s="253"/>
      <c r="M209" s="253"/>
      <c r="N209" s="253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 s="253"/>
      <c r="AI209" s="253"/>
      <c r="AJ209" s="253"/>
      <c r="AK209" s="253"/>
      <c r="AL209" s="253"/>
      <c r="AM209" s="253"/>
      <c r="AN209" s="253"/>
      <c r="AO209" s="253"/>
      <c r="AP209" s="253"/>
      <c r="AQ209" s="253"/>
    </row>
    <row r="210" spans="1:43" s="255" customFormat="1" ht="15" x14ac:dyDescent="0.2">
      <c r="A210" s="253"/>
      <c r="B210" s="254"/>
      <c r="C210" s="253"/>
      <c r="D210" s="253"/>
      <c r="E210" s="253"/>
      <c r="F210" s="253"/>
      <c r="G210" s="253"/>
      <c r="H210" s="253"/>
      <c r="I210" s="253"/>
      <c r="J210" s="253"/>
      <c r="K210" s="253"/>
      <c r="L210" s="253"/>
      <c r="M210" s="253"/>
      <c r="N210" s="253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 s="253"/>
      <c r="AI210" s="253"/>
      <c r="AJ210" s="253"/>
      <c r="AK210" s="253"/>
      <c r="AL210" s="253"/>
      <c r="AM210" s="253"/>
      <c r="AN210" s="253"/>
      <c r="AO210" s="253"/>
      <c r="AP210" s="253"/>
      <c r="AQ210" s="253"/>
    </row>
    <row r="211" spans="1:43" s="255" customFormat="1" ht="15" x14ac:dyDescent="0.2">
      <c r="A211" s="253"/>
      <c r="B211" s="254"/>
      <c r="C211" s="253"/>
      <c r="D211" s="253"/>
      <c r="E211" s="253"/>
      <c r="F211" s="253"/>
      <c r="G211" s="253"/>
      <c r="H211" s="253"/>
      <c r="I211" s="253"/>
      <c r="J211" s="253"/>
      <c r="K211" s="253"/>
      <c r="L211" s="253"/>
      <c r="M211" s="253"/>
      <c r="N211" s="253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 s="253"/>
      <c r="AI211" s="253"/>
      <c r="AJ211" s="253"/>
      <c r="AK211" s="253"/>
      <c r="AL211" s="253"/>
      <c r="AM211" s="253"/>
      <c r="AN211" s="253"/>
      <c r="AO211" s="253"/>
      <c r="AP211" s="253"/>
      <c r="AQ211" s="253"/>
    </row>
    <row r="212" spans="1:43" s="255" customFormat="1" ht="15" x14ac:dyDescent="0.2">
      <c r="A212" s="253"/>
      <c r="B212" s="254"/>
      <c r="C212" s="253"/>
      <c r="D212" s="253"/>
      <c r="E212" s="253"/>
      <c r="F212" s="253"/>
      <c r="G212" s="253"/>
      <c r="H212" s="253"/>
      <c r="I212" s="253"/>
      <c r="J212" s="253"/>
      <c r="K212" s="253"/>
      <c r="L212" s="253"/>
      <c r="M212" s="253"/>
      <c r="N212" s="253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 s="253"/>
      <c r="AI212" s="253"/>
      <c r="AJ212" s="253"/>
      <c r="AK212" s="253"/>
      <c r="AL212" s="253"/>
      <c r="AM212" s="253"/>
      <c r="AN212" s="253"/>
      <c r="AO212" s="253"/>
      <c r="AP212" s="253"/>
      <c r="AQ212" s="253"/>
    </row>
    <row r="213" spans="1:43" s="255" customFormat="1" ht="15" x14ac:dyDescent="0.2">
      <c r="A213" s="253"/>
      <c r="B213" s="254"/>
      <c r="C213" s="253"/>
      <c r="D213" s="253"/>
      <c r="E213" s="253"/>
      <c r="F213" s="253"/>
      <c r="G213" s="253"/>
      <c r="H213" s="253"/>
      <c r="I213" s="253"/>
      <c r="J213" s="253"/>
      <c r="K213" s="253"/>
      <c r="L213" s="253"/>
      <c r="M213" s="253"/>
      <c r="N213" s="25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 s="253"/>
      <c r="AI213" s="253"/>
      <c r="AJ213" s="253"/>
      <c r="AK213" s="253"/>
      <c r="AL213" s="253"/>
      <c r="AM213" s="253"/>
      <c r="AN213" s="253"/>
      <c r="AO213" s="253"/>
      <c r="AP213" s="253"/>
      <c r="AQ213" s="253"/>
    </row>
    <row r="214" spans="1:43" s="255" customFormat="1" ht="15" x14ac:dyDescent="0.2">
      <c r="A214" s="253"/>
      <c r="B214" s="254"/>
      <c r="C214" s="253"/>
      <c r="D214" s="253"/>
      <c r="E214" s="253"/>
      <c r="F214" s="253"/>
      <c r="G214" s="253"/>
      <c r="H214" s="253"/>
      <c r="I214" s="253"/>
      <c r="J214" s="253"/>
      <c r="K214" s="253"/>
      <c r="L214" s="253"/>
      <c r="M214" s="253"/>
      <c r="N214" s="253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 s="253"/>
      <c r="AI214" s="253"/>
      <c r="AJ214" s="253"/>
      <c r="AK214" s="253"/>
      <c r="AL214" s="253"/>
      <c r="AM214" s="253"/>
      <c r="AN214" s="253"/>
      <c r="AO214" s="253"/>
      <c r="AP214" s="253"/>
      <c r="AQ214" s="253"/>
    </row>
    <row r="215" spans="1:43" s="255" customFormat="1" ht="15" x14ac:dyDescent="0.2">
      <c r="A215" s="253"/>
      <c r="B215" s="254"/>
      <c r="C215" s="253"/>
      <c r="D215" s="253"/>
      <c r="E215" s="253"/>
      <c r="F215" s="253"/>
      <c r="G215" s="253"/>
      <c r="H215" s="253"/>
      <c r="I215" s="253"/>
      <c r="J215" s="253"/>
      <c r="K215" s="253"/>
      <c r="L215" s="253"/>
      <c r="M215" s="253"/>
      <c r="N215" s="253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 s="253"/>
      <c r="AI215" s="253"/>
      <c r="AJ215" s="253"/>
      <c r="AK215" s="253"/>
      <c r="AL215" s="253"/>
      <c r="AM215" s="253"/>
      <c r="AN215" s="253"/>
      <c r="AO215" s="253"/>
      <c r="AP215" s="253"/>
      <c r="AQ215" s="253"/>
    </row>
    <row r="216" spans="1:43" s="255" customFormat="1" ht="15" x14ac:dyDescent="0.2">
      <c r="A216" s="253"/>
      <c r="B216" s="254"/>
      <c r="C216" s="253"/>
      <c r="D216" s="253"/>
      <c r="E216" s="253"/>
      <c r="F216" s="253"/>
      <c r="G216" s="253"/>
      <c r="H216" s="253"/>
      <c r="I216" s="253"/>
      <c r="J216" s="253"/>
      <c r="K216" s="253"/>
      <c r="L216" s="253"/>
      <c r="M216" s="253"/>
      <c r="N216" s="253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 s="253"/>
      <c r="AI216" s="253"/>
      <c r="AJ216" s="253"/>
      <c r="AK216" s="253"/>
      <c r="AL216" s="253"/>
      <c r="AM216" s="253"/>
      <c r="AN216" s="253"/>
      <c r="AO216" s="253"/>
      <c r="AP216" s="253"/>
      <c r="AQ216" s="253"/>
    </row>
    <row r="217" spans="1:43" s="255" customFormat="1" ht="15" x14ac:dyDescent="0.2">
      <c r="A217" s="253"/>
      <c r="B217" s="254"/>
      <c r="C217" s="253"/>
      <c r="D217" s="253"/>
      <c r="E217" s="253"/>
      <c r="F217" s="253"/>
      <c r="G217" s="253"/>
      <c r="H217" s="253"/>
      <c r="I217" s="253"/>
      <c r="J217" s="253"/>
      <c r="K217" s="253"/>
      <c r="L217" s="253"/>
      <c r="M217" s="253"/>
      <c r="N217" s="253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 s="253"/>
      <c r="AI217" s="253"/>
      <c r="AJ217" s="253"/>
      <c r="AK217" s="253"/>
      <c r="AL217" s="253"/>
      <c r="AM217" s="253"/>
      <c r="AN217" s="253"/>
      <c r="AO217" s="253"/>
      <c r="AP217" s="253"/>
      <c r="AQ217" s="253"/>
    </row>
    <row r="218" spans="1:43" s="255" customFormat="1" ht="15" x14ac:dyDescent="0.2">
      <c r="A218" s="253"/>
      <c r="B218" s="254"/>
      <c r="C218" s="253"/>
      <c r="D218" s="253"/>
      <c r="E218" s="253"/>
      <c r="F218" s="253"/>
      <c r="G218" s="253"/>
      <c r="H218" s="253"/>
      <c r="I218" s="253"/>
      <c r="J218" s="253"/>
      <c r="K218" s="253"/>
      <c r="L218" s="253"/>
      <c r="M218" s="253"/>
      <c r="N218" s="253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 s="253"/>
      <c r="AI218" s="253"/>
      <c r="AJ218" s="253"/>
      <c r="AK218" s="253"/>
      <c r="AL218" s="253"/>
      <c r="AM218" s="253"/>
      <c r="AN218" s="253"/>
      <c r="AO218" s="253"/>
      <c r="AP218" s="253"/>
      <c r="AQ218" s="253"/>
    </row>
    <row r="219" spans="1:43" s="255" customFormat="1" ht="15" x14ac:dyDescent="0.2">
      <c r="A219" s="253"/>
      <c r="B219" s="254"/>
      <c r="C219" s="253"/>
      <c r="D219" s="253"/>
      <c r="E219" s="253"/>
      <c r="F219" s="253"/>
      <c r="G219" s="253"/>
      <c r="H219" s="253"/>
      <c r="I219" s="253"/>
      <c r="J219" s="253"/>
      <c r="K219" s="253"/>
      <c r="L219" s="253"/>
      <c r="M219" s="253"/>
      <c r="N219" s="253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 s="253"/>
      <c r="AI219" s="253"/>
      <c r="AJ219" s="253"/>
      <c r="AK219" s="253"/>
      <c r="AL219" s="253"/>
      <c r="AM219" s="253"/>
      <c r="AN219" s="253"/>
      <c r="AO219" s="253"/>
      <c r="AP219" s="253"/>
      <c r="AQ219" s="253"/>
    </row>
    <row r="220" spans="1:43" s="255" customFormat="1" ht="15" x14ac:dyDescent="0.2">
      <c r="A220" s="253"/>
      <c r="B220" s="254"/>
      <c r="C220" s="253"/>
      <c r="D220" s="253"/>
      <c r="E220" s="253"/>
      <c r="F220" s="253"/>
      <c r="G220" s="253"/>
      <c r="H220" s="253"/>
      <c r="I220" s="253"/>
      <c r="J220" s="253"/>
      <c r="K220" s="253"/>
      <c r="L220" s="253"/>
      <c r="M220" s="253"/>
      <c r="N220" s="253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 s="253"/>
      <c r="AI220" s="253"/>
      <c r="AJ220" s="253"/>
      <c r="AK220" s="253"/>
      <c r="AL220" s="253"/>
      <c r="AM220" s="253"/>
      <c r="AN220" s="253"/>
      <c r="AO220" s="253"/>
      <c r="AP220" s="253"/>
      <c r="AQ220" s="253"/>
    </row>
    <row r="221" spans="1:43" s="255" customFormat="1" ht="15" x14ac:dyDescent="0.2">
      <c r="A221" s="253"/>
      <c r="B221" s="254"/>
      <c r="C221" s="253"/>
      <c r="D221" s="253"/>
      <c r="E221" s="253"/>
      <c r="F221" s="253"/>
      <c r="G221" s="253"/>
      <c r="H221" s="253"/>
      <c r="I221" s="253"/>
      <c r="J221" s="253"/>
      <c r="K221" s="253"/>
      <c r="L221" s="253"/>
      <c r="M221" s="253"/>
      <c r="N221" s="253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 s="253"/>
      <c r="AI221" s="253"/>
      <c r="AJ221" s="253"/>
      <c r="AK221" s="253"/>
      <c r="AL221" s="253"/>
      <c r="AM221" s="253"/>
      <c r="AN221" s="253"/>
      <c r="AO221" s="253"/>
      <c r="AP221" s="253"/>
      <c r="AQ221" s="253"/>
    </row>
    <row r="222" spans="1:43" s="255" customFormat="1" ht="15" x14ac:dyDescent="0.2">
      <c r="A222" s="253"/>
      <c r="B222" s="254"/>
      <c r="C222" s="253"/>
      <c r="D222" s="253"/>
      <c r="E222" s="253"/>
      <c r="F222" s="253"/>
      <c r="G222" s="253"/>
      <c r="H222" s="253"/>
      <c r="I222" s="253"/>
      <c r="J222" s="253"/>
      <c r="K222" s="253"/>
      <c r="L222" s="253"/>
      <c r="M222" s="253"/>
      <c r="N222" s="253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 s="253"/>
      <c r="AI222" s="253"/>
      <c r="AJ222" s="253"/>
      <c r="AK222" s="253"/>
      <c r="AL222" s="253"/>
      <c r="AM222" s="253"/>
      <c r="AN222" s="253"/>
      <c r="AO222" s="253"/>
      <c r="AP222" s="253"/>
      <c r="AQ222" s="253"/>
    </row>
    <row r="223" spans="1:43" s="255" customFormat="1" ht="15" x14ac:dyDescent="0.2">
      <c r="A223" s="253"/>
      <c r="B223" s="254"/>
      <c r="C223" s="253"/>
      <c r="D223" s="253"/>
      <c r="E223" s="253"/>
      <c r="F223" s="253"/>
      <c r="G223" s="253"/>
      <c r="H223" s="253"/>
      <c r="I223" s="253"/>
      <c r="J223" s="253"/>
      <c r="K223" s="253"/>
      <c r="L223" s="253"/>
      <c r="M223" s="253"/>
      <c r="N223" s="25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 s="253"/>
      <c r="AI223" s="253"/>
      <c r="AJ223" s="253"/>
      <c r="AK223" s="253"/>
      <c r="AL223" s="253"/>
      <c r="AM223" s="253"/>
      <c r="AN223" s="253"/>
      <c r="AO223" s="253"/>
      <c r="AP223" s="253"/>
      <c r="AQ223" s="253"/>
    </row>
    <row r="224" spans="1:43" s="255" customFormat="1" ht="15" x14ac:dyDescent="0.2">
      <c r="A224" s="253"/>
      <c r="B224" s="254"/>
      <c r="C224" s="253"/>
      <c r="D224" s="253"/>
      <c r="E224" s="253"/>
      <c r="F224" s="253"/>
      <c r="G224" s="253"/>
      <c r="H224" s="253"/>
      <c r="I224" s="253"/>
      <c r="J224" s="253"/>
      <c r="K224" s="253"/>
      <c r="L224" s="253"/>
      <c r="M224" s="253"/>
      <c r="N224" s="253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 s="253"/>
      <c r="AI224" s="253"/>
      <c r="AJ224" s="253"/>
      <c r="AK224" s="253"/>
      <c r="AL224" s="253"/>
      <c r="AM224" s="253"/>
      <c r="AN224" s="253"/>
      <c r="AO224" s="253"/>
      <c r="AP224" s="253"/>
      <c r="AQ224" s="253"/>
    </row>
    <row r="225" spans="1:43" s="255" customFormat="1" ht="15" x14ac:dyDescent="0.2">
      <c r="A225" s="253"/>
      <c r="B225" s="254"/>
      <c r="C225" s="253"/>
      <c r="D225" s="253"/>
      <c r="E225" s="253"/>
      <c r="F225" s="253"/>
      <c r="G225" s="253"/>
      <c r="H225" s="253"/>
      <c r="I225" s="253"/>
      <c r="J225" s="253"/>
      <c r="K225" s="253"/>
      <c r="L225" s="253"/>
      <c r="M225" s="253"/>
      <c r="N225" s="253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 s="253"/>
      <c r="AI225" s="253"/>
      <c r="AJ225" s="253"/>
      <c r="AK225" s="253"/>
      <c r="AL225" s="253"/>
      <c r="AM225" s="253"/>
      <c r="AN225" s="253"/>
      <c r="AO225" s="253"/>
      <c r="AP225" s="253"/>
      <c r="AQ225" s="253"/>
    </row>
    <row r="226" spans="1:43" s="255" customFormat="1" ht="15" x14ac:dyDescent="0.2">
      <c r="A226" s="253"/>
      <c r="B226" s="254"/>
      <c r="C226" s="253"/>
      <c r="D226" s="253"/>
      <c r="E226" s="253"/>
      <c r="F226" s="253"/>
      <c r="G226" s="253"/>
      <c r="H226" s="253"/>
      <c r="I226" s="253"/>
      <c r="J226" s="253"/>
      <c r="K226" s="253"/>
      <c r="L226" s="253"/>
      <c r="M226" s="253"/>
      <c r="N226" s="253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 s="253"/>
      <c r="AI226" s="253"/>
      <c r="AJ226" s="253"/>
      <c r="AK226" s="253"/>
      <c r="AL226" s="253"/>
      <c r="AM226" s="253"/>
      <c r="AN226" s="253"/>
      <c r="AO226" s="253"/>
      <c r="AP226" s="253"/>
      <c r="AQ226" s="253"/>
    </row>
    <row r="227" spans="1:43" s="255" customFormat="1" ht="15" x14ac:dyDescent="0.2">
      <c r="A227" s="253"/>
      <c r="B227" s="254"/>
      <c r="C227" s="253"/>
      <c r="D227" s="253"/>
      <c r="E227" s="253"/>
      <c r="F227" s="253"/>
      <c r="G227" s="253"/>
      <c r="H227" s="253"/>
      <c r="I227" s="253"/>
      <c r="J227" s="253"/>
      <c r="K227" s="253"/>
      <c r="L227" s="253"/>
      <c r="M227" s="253"/>
      <c r="N227" s="253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 s="253"/>
      <c r="AI227" s="253"/>
      <c r="AJ227" s="253"/>
      <c r="AK227" s="253"/>
      <c r="AL227" s="253"/>
      <c r="AM227" s="253"/>
      <c r="AN227" s="253"/>
      <c r="AO227" s="253"/>
      <c r="AP227" s="253"/>
      <c r="AQ227" s="253"/>
    </row>
    <row r="228" spans="1:43" s="255" customFormat="1" ht="15" x14ac:dyDescent="0.2">
      <c r="A228" s="253"/>
      <c r="B228" s="254"/>
      <c r="C228" s="253"/>
      <c r="D228" s="253"/>
      <c r="E228" s="253"/>
      <c r="F228" s="253"/>
      <c r="G228" s="253"/>
      <c r="H228" s="253"/>
      <c r="I228" s="253"/>
      <c r="J228" s="253"/>
      <c r="K228" s="253"/>
      <c r="L228" s="253"/>
      <c r="M228" s="253"/>
      <c r="N228" s="253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 s="253"/>
      <c r="AI228" s="253"/>
      <c r="AJ228" s="253"/>
      <c r="AK228" s="253"/>
      <c r="AL228" s="253"/>
      <c r="AM228" s="253"/>
      <c r="AN228" s="253"/>
      <c r="AO228" s="253"/>
      <c r="AP228" s="253"/>
      <c r="AQ228" s="253"/>
    </row>
    <row r="229" spans="1:43" s="255" customFormat="1" ht="15" x14ac:dyDescent="0.2">
      <c r="A229" s="253"/>
      <c r="B229" s="254"/>
      <c r="C229" s="253"/>
      <c r="D229" s="253"/>
      <c r="E229" s="253"/>
      <c r="F229" s="253"/>
      <c r="G229" s="253"/>
      <c r="H229" s="253"/>
      <c r="I229" s="253"/>
      <c r="J229" s="253"/>
      <c r="K229" s="253"/>
      <c r="L229" s="253"/>
      <c r="M229" s="253"/>
      <c r="N229" s="253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 s="253"/>
      <c r="AI229" s="253"/>
      <c r="AJ229" s="253"/>
      <c r="AK229" s="253"/>
      <c r="AL229" s="253"/>
      <c r="AM229" s="253"/>
      <c r="AN229" s="253"/>
      <c r="AO229" s="253"/>
      <c r="AP229" s="253"/>
      <c r="AQ229" s="253"/>
    </row>
    <row r="230" spans="1:43" s="255" customFormat="1" ht="15" x14ac:dyDescent="0.2">
      <c r="A230" s="253"/>
      <c r="B230" s="254"/>
      <c r="C230" s="253"/>
      <c r="D230" s="253"/>
      <c r="E230" s="253"/>
      <c r="F230" s="253"/>
      <c r="G230" s="253"/>
      <c r="H230" s="253"/>
      <c r="I230" s="253"/>
      <c r="J230" s="253"/>
      <c r="K230" s="253"/>
      <c r="L230" s="253"/>
      <c r="M230" s="253"/>
      <c r="N230" s="253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 s="253"/>
      <c r="AI230" s="253"/>
      <c r="AJ230" s="253"/>
      <c r="AK230" s="253"/>
      <c r="AL230" s="253"/>
      <c r="AM230" s="253"/>
      <c r="AN230" s="253"/>
      <c r="AO230" s="253"/>
      <c r="AP230" s="253"/>
      <c r="AQ230" s="253"/>
    </row>
    <row r="231" spans="1:43" s="255" customFormat="1" ht="15" x14ac:dyDescent="0.2">
      <c r="A231" s="253"/>
      <c r="B231" s="254"/>
      <c r="C231" s="253"/>
      <c r="D231" s="253"/>
      <c r="E231" s="253"/>
      <c r="F231" s="253"/>
      <c r="G231" s="253"/>
      <c r="H231" s="253"/>
      <c r="I231" s="253"/>
      <c r="J231" s="253"/>
      <c r="K231" s="253"/>
      <c r="L231" s="253"/>
      <c r="M231" s="253"/>
      <c r="N231" s="253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 s="253"/>
      <c r="AI231" s="253"/>
      <c r="AJ231" s="253"/>
      <c r="AK231" s="253"/>
      <c r="AL231" s="253"/>
      <c r="AM231" s="253"/>
      <c r="AN231" s="253"/>
      <c r="AO231" s="253"/>
      <c r="AP231" s="253"/>
      <c r="AQ231" s="253"/>
    </row>
    <row r="232" spans="1:43" s="255" customFormat="1" x14ac:dyDescent="0.2">
      <c r="A232" s="253"/>
      <c r="B232" s="254"/>
      <c r="C232" s="253"/>
      <c r="D232" s="253"/>
      <c r="E232" s="253"/>
      <c r="F232" s="253"/>
      <c r="G232" s="253"/>
      <c r="H232" s="253"/>
      <c r="I232" s="253"/>
      <c r="J232" s="253"/>
      <c r="K232" s="253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  <c r="Z232" s="253"/>
      <c r="AA232" s="253"/>
      <c r="AB232" s="253"/>
      <c r="AC232" s="253"/>
      <c r="AD232" s="253"/>
      <c r="AE232" s="253"/>
      <c r="AF232" s="253"/>
      <c r="AG232" s="253"/>
      <c r="AH232" s="253"/>
      <c r="AI232" s="253"/>
      <c r="AJ232" s="253"/>
      <c r="AK232" s="253"/>
      <c r="AL232" s="253"/>
      <c r="AM232" s="253"/>
      <c r="AN232" s="253"/>
      <c r="AO232" s="253"/>
      <c r="AP232" s="253"/>
      <c r="AQ232" s="253"/>
    </row>
    <row r="233" spans="1:43" s="255" customFormat="1" x14ac:dyDescent="0.2">
      <c r="A233" s="253"/>
      <c r="B233" s="254"/>
      <c r="C233" s="253"/>
      <c r="D233" s="253"/>
      <c r="E233" s="253"/>
      <c r="F233" s="253"/>
      <c r="G233" s="253"/>
      <c r="H233" s="253"/>
      <c r="I233" s="253"/>
      <c r="J233" s="253"/>
      <c r="K233" s="253"/>
      <c r="L233" s="253"/>
      <c r="M233" s="253"/>
      <c r="N233" s="253"/>
      <c r="O233" s="253"/>
      <c r="P233" s="253"/>
      <c r="Q233" s="253"/>
      <c r="R233" s="253"/>
      <c r="S233" s="253"/>
      <c r="T233" s="253"/>
      <c r="U233" s="253"/>
      <c r="V233" s="253"/>
      <c r="W233" s="253"/>
      <c r="X233" s="253"/>
      <c r="Y233" s="253"/>
      <c r="Z233" s="253"/>
      <c r="AA233" s="253"/>
      <c r="AB233" s="253"/>
      <c r="AC233" s="253"/>
      <c r="AD233" s="253"/>
      <c r="AE233" s="253"/>
      <c r="AF233" s="253"/>
      <c r="AG233" s="253"/>
      <c r="AH233" s="253"/>
      <c r="AI233" s="253"/>
      <c r="AJ233" s="253"/>
      <c r="AK233" s="253"/>
      <c r="AL233" s="253"/>
      <c r="AM233" s="253"/>
      <c r="AN233" s="253"/>
      <c r="AO233" s="253"/>
      <c r="AP233" s="253"/>
      <c r="AQ233" s="253"/>
    </row>
    <row r="234" spans="1:43" s="255" customFormat="1" x14ac:dyDescent="0.2">
      <c r="A234" s="253"/>
      <c r="B234" s="254"/>
      <c r="C234" s="253"/>
      <c r="D234" s="253"/>
      <c r="E234" s="253"/>
      <c r="F234" s="253"/>
      <c r="G234" s="253"/>
      <c r="H234" s="253"/>
      <c r="I234" s="253"/>
      <c r="J234" s="253"/>
      <c r="K234" s="253"/>
      <c r="L234" s="253"/>
      <c r="M234" s="253"/>
      <c r="N234" s="253"/>
      <c r="O234" s="253"/>
      <c r="P234" s="253"/>
      <c r="Q234" s="253"/>
      <c r="R234" s="253"/>
      <c r="S234" s="253"/>
      <c r="T234" s="253"/>
      <c r="U234" s="253"/>
      <c r="V234" s="253"/>
      <c r="W234" s="253"/>
      <c r="X234" s="253"/>
      <c r="Y234" s="253"/>
      <c r="Z234" s="253"/>
      <c r="AA234" s="253"/>
      <c r="AB234" s="253"/>
      <c r="AC234" s="253"/>
      <c r="AD234" s="253"/>
      <c r="AE234" s="253"/>
      <c r="AF234" s="253"/>
      <c r="AG234" s="253"/>
      <c r="AH234" s="253"/>
      <c r="AI234" s="253"/>
      <c r="AJ234" s="253"/>
      <c r="AK234" s="253"/>
      <c r="AL234" s="253"/>
      <c r="AM234" s="253"/>
      <c r="AN234" s="253"/>
      <c r="AO234" s="253"/>
      <c r="AP234" s="253"/>
      <c r="AQ234" s="253"/>
    </row>
    <row r="235" spans="1:43" s="255" customFormat="1" x14ac:dyDescent="0.2">
      <c r="A235" s="253"/>
      <c r="B235" s="254"/>
      <c r="C235" s="253"/>
      <c r="D235" s="253"/>
      <c r="E235" s="253"/>
      <c r="F235" s="253"/>
      <c r="G235" s="253"/>
      <c r="H235" s="253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53"/>
      <c r="AB235" s="253"/>
      <c r="AC235" s="253"/>
      <c r="AD235" s="253"/>
      <c r="AE235" s="253"/>
      <c r="AF235" s="253"/>
      <c r="AG235" s="253"/>
      <c r="AH235" s="253"/>
      <c r="AI235" s="253"/>
      <c r="AJ235" s="253"/>
      <c r="AK235" s="253"/>
      <c r="AL235" s="253"/>
      <c r="AM235" s="253"/>
      <c r="AN235" s="253"/>
      <c r="AO235" s="253"/>
      <c r="AP235" s="253"/>
      <c r="AQ235" s="253"/>
    </row>
    <row r="236" spans="1:43" s="255" customFormat="1" x14ac:dyDescent="0.2">
      <c r="A236" s="253"/>
      <c r="B236" s="254"/>
      <c r="C236" s="253"/>
      <c r="D236" s="253"/>
      <c r="E236" s="253"/>
      <c r="F236" s="253"/>
      <c r="G236" s="253"/>
      <c r="H236" s="253"/>
      <c r="I236" s="253"/>
      <c r="J236" s="253"/>
      <c r="K236" s="253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  <c r="AA236" s="253"/>
      <c r="AB236" s="253"/>
      <c r="AC236" s="253"/>
      <c r="AD236" s="253"/>
      <c r="AE236" s="253"/>
      <c r="AF236" s="253"/>
      <c r="AG236" s="253"/>
      <c r="AH236" s="253"/>
      <c r="AI236" s="253"/>
      <c r="AJ236" s="253"/>
      <c r="AK236" s="253"/>
      <c r="AL236" s="253"/>
      <c r="AM236" s="253"/>
      <c r="AN236" s="253"/>
      <c r="AO236" s="253"/>
      <c r="AP236" s="253"/>
      <c r="AQ236" s="253"/>
    </row>
    <row r="237" spans="1:43" s="255" customFormat="1" x14ac:dyDescent="0.2">
      <c r="A237" s="253"/>
      <c r="B237" s="254"/>
      <c r="C237" s="253"/>
      <c r="D237" s="253"/>
      <c r="E237" s="253"/>
      <c r="F237" s="253"/>
      <c r="G237" s="253"/>
      <c r="H237" s="253"/>
      <c r="I237" s="253"/>
      <c r="J237" s="253"/>
      <c r="K237" s="253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  <c r="AA237" s="253"/>
      <c r="AB237" s="253"/>
      <c r="AC237" s="253"/>
      <c r="AD237" s="253"/>
      <c r="AE237" s="253"/>
      <c r="AF237" s="253"/>
      <c r="AG237" s="253"/>
      <c r="AH237" s="253"/>
      <c r="AI237" s="253"/>
      <c r="AJ237" s="253"/>
      <c r="AK237" s="253"/>
      <c r="AL237" s="253"/>
      <c r="AM237" s="253"/>
      <c r="AN237" s="253"/>
      <c r="AO237" s="253"/>
      <c r="AP237" s="253"/>
      <c r="AQ237" s="253"/>
    </row>
    <row r="238" spans="1:43" s="255" customFormat="1" x14ac:dyDescent="0.2">
      <c r="A238" s="253"/>
      <c r="B238" s="254"/>
      <c r="C238" s="253"/>
      <c r="D238" s="253"/>
      <c r="E238" s="253"/>
      <c r="F238" s="253"/>
      <c r="G238" s="253"/>
      <c r="H238" s="253"/>
      <c r="I238" s="253"/>
      <c r="J238" s="253"/>
      <c r="K238" s="253"/>
      <c r="L238" s="253"/>
      <c r="M238" s="253"/>
      <c r="N238" s="253"/>
      <c r="O238" s="253"/>
      <c r="P238" s="253"/>
      <c r="Q238" s="253"/>
      <c r="R238" s="253"/>
      <c r="S238" s="253"/>
      <c r="T238" s="253"/>
      <c r="U238" s="253"/>
      <c r="V238" s="253"/>
      <c r="W238" s="253"/>
      <c r="X238" s="253"/>
      <c r="Y238" s="253"/>
      <c r="Z238" s="253"/>
      <c r="AA238" s="253"/>
      <c r="AB238" s="253"/>
      <c r="AC238" s="253"/>
      <c r="AD238" s="253"/>
      <c r="AE238" s="253"/>
      <c r="AF238" s="253"/>
      <c r="AG238" s="253"/>
      <c r="AH238" s="253"/>
      <c r="AI238" s="253"/>
      <c r="AJ238" s="253"/>
      <c r="AK238" s="253"/>
      <c r="AL238" s="253"/>
      <c r="AM238" s="253"/>
      <c r="AN238" s="253"/>
      <c r="AO238" s="253"/>
      <c r="AP238" s="253"/>
      <c r="AQ238" s="253"/>
    </row>
    <row r="239" spans="1:43" s="255" customFormat="1" x14ac:dyDescent="0.2">
      <c r="A239" s="253"/>
      <c r="B239" s="254"/>
      <c r="C239" s="253"/>
      <c r="D239" s="253"/>
      <c r="E239" s="253"/>
      <c r="F239" s="253"/>
      <c r="G239" s="253"/>
      <c r="H239" s="253"/>
      <c r="I239" s="253"/>
      <c r="J239" s="253"/>
      <c r="K239" s="253"/>
      <c r="L239" s="253"/>
      <c r="M239" s="253"/>
      <c r="N239" s="253"/>
      <c r="O239" s="253"/>
      <c r="P239" s="253"/>
      <c r="Q239" s="253"/>
      <c r="R239" s="253"/>
      <c r="S239" s="253"/>
      <c r="T239" s="253"/>
      <c r="U239" s="253"/>
      <c r="V239" s="253"/>
      <c r="W239" s="253"/>
      <c r="X239" s="253"/>
      <c r="Y239" s="253"/>
      <c r="Z239" s="253"/>
      <c r="AA239" s="253"/>
      <c r="AB239" s="253"/>
      <c r="AC239" s="253"/>
      <c r="AD239" s="253"/>
      <c r="AE239" s="253"/>
      <c r="AF239" s="253"/>
      <c r="AG239" s="253"/>
      <c r="AH239" s="253"/>
      <c r="AI239" s="253"/>
      <c r="AJ239" s="253"/>
      <c r="AK239" s="253"/>
      <c r="AL239" s="253"/>
      <c r="AM239" s="253"/>
      <c r="AN239" s="253"/>
      <c r="AO239" s="253"/>
      <c r="AP239" s="253"/>
      <c r="AQ239" s="253"/>
    </row>
    <row r="240" spans="1:43" s="255" customFormat="1" x14ac:dyDescent="0.2">
      <c r="A240" s="253"/>
      <c r="B240" s="254"/>
      <c r="C240" s="253"/>
      <c r="D240" s="253"/>
      <c r="E240" s="253"/>
      <c r="F240" s="253"/>
      <c r="G240" s="253"/>
      <c r="H240" s="253"/>
      <c r="I240" s="253"/>
      <c r="J240" s="253"/>
      <c r="K240" s="253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  <c r="AA240" s="253"/>
      <c r="AB240" s="253"/>
      <c r="AC240" s="253"/>
      <c r="AD240" s="253"/>
      <c r="AE240" s="253"/>
      <c r="AF240" s="253"/>
      <c r="AG240" s="253"/>
      <c r="AH240" s="253"/>
      <c r="AI240" s="253"/>
      <c r="AJ240" s="253"/>
      <c r="AK240" s="253"/>
      <c r="AL240" s="253"/>
      <c r="AM240" s="253"/>
      <c r="AN240" s="253"/>
      <c r="AO240" s="253"/>
      <c r="AP240" s="253"/>
      <c r="AQ240" s="253"/>
    </row>
    <row r="241" spans="1:43" s="255" customFormat="1" x14ac:dyDescent="0.2">
      <c r="A241" s="253"/>
      <c r="B241" s="254"/>
      <c r="C241" s="253"/>
      <c r="D241" s="253"/>
      <c r="E241" s="253"/>
      <c r="F241" s="253"/>
      <c r="G241" s="253"/>
      <c r="H241" s="253"/>
      <c r="I241" s="253"/>
      <c r="J241" s="253"/>
      <c r="K241" s="253"/>
      <c r="L241" s="25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Y241" s="253"/>
      <c r="Z241" s="253"/>
      <c r="AA241" s="253"/>
      <c r="AB241" s="253"/>
      <c r="AC241" s="253"/>
      <c r="AD241" s="253"/>
      <c r="AE241" s="253"/>
      <c r="AF241" s="253"/>
      <c r="AG241" s="253"/>
      <c r="AH241" s="253"/>
      <c r="AI241" s="253"/>
      <c r="AJ241" s="253"/>
      <c r="AK241" s="253"/>
      <c r="AL241" s="253"/>
      <c r="AM241" s="253"/>
      <c r="AN241" s="253"/>
      <c r="AO241" s="253"/>
      <c r="AP241" s="253"/>
      <c r="AQ241" s="253"/>
    </row>
    <row r="242" spans="1:43" s="255" customFormat="1" x14ac:dyDescent="0.2">
      <c r="A242" s="253"/>
      <c r="B242" s="254"/>
      <c r="C242" s="253"/>
      <c r="D242" s="253"/>
      <c r="E242" s="253"/>
      <c r="F242" s="253"/>
      <c r="G242" s="253"/>
      <c r="H242" s="253"/>
      <c r="I242" s="253"/>
      <c r="J242" s="253"/>
      <c r="K242" s="253"/>
      <c r="L242" s="25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3"/>
      <c r="Y242" s="253"/>
      <c r="Z242" s="253"/>
      <c r="AA242" s="253"/>
      <c r="AB242" s="253"/>
      <c r="AC242" s="253"/>
      <c r="AD242" s="253"/>
      <c r="AE242" s="253"/>
      <c r="AF242" s="253"/>
      <c r="AG242" s="253"/>
      <c r="AH242" s="253"/>
      <c r="AI242" s="253"/>
      <c r="AJ242" s="253"/>
      <c r="AK242" s="253"/>
      <c r="AL242" s="253"/>
      <c r="AM242" s="253"/>
      <c r="AN242" s="253"/>
      <c r="AO242" s="253"/>
      <c r="AP242" s="253"/>
      <c r="AQ242" s="253"/>
    </row>
  </sheetData>
  <sheetProtection algorithmName="SHA-512" hashValue="sI55R7a4TmCaKYUPRT5Fy629Y5q3SXjPRSDDke9adxCq/gsWxcnWTLusGPNeYhgXqOj8xkg3K5rNu66PunfLdw==" saltValue="jjLp0pIDpwmns1/bFLkGww==" spinCount="100000" sheet="1" objects="1" scenarios="1"/>
  <mergeCells count="34">
    <mergeCell ref="B100:C100"/>
    <mergeCell ref="D100:F100"/>
    <mergeCell ref="B101:C101"/>
    <mergeCell ref="D101:F101"/>
    <mergeCell ref="B90:D90"/>
    <mergeCell ref="E90:G90"/>
    <mergeCell ref="H90:J90"/>
    <mergeCell ref="K90:M90"/>
    <mergeCell ref="B99:C99"/>
    <mergeCell ref="D99:F99"/>
    <mergeCell ref="A39:B39"/>
    <mergeCell ref="A48:B48"/>
    <mergeCell ref="A50:E50"/>
    <mergeCell ref="I54:J54"/>
    <mergeCell ref="H67:J67"/>
    <mergeCell ref="E68:F68"/>
    <mergeCell ref="H38:J38"/>
    <mergeCell ref="C9:D9"/>
    <mergeCell ref="C11:D11"/>
    <mergeCell ref="J11:K11"/>
    <mergeCell ref="J12:K12"/>
    <mergeCell ref="A13:D13"/>
    <mergeCell ref="C14:D14"/>
    <mergeCell ref="C15:D15"/>
    <mergeCell ref="C16:D16"/>
    <mergeCell ref="A22:B22"/>
    <mergeCell ref="A34:A35"/>
    <mergeCell ref="B34:M35"/>
    <mergeCell ref="C7:D7"/>
    <mergeCell ref="C1:L1"/>
    <mergeCell ref="B2:E2"/>
    <mergeCell ref="G2:H2"/>
    <mergeCell ref="K2:L2"/>
    <mergeCell ref="A5:B5"/>
  </mergeCells>
  <conditionalFormatting sqref="C93">
    <cfRule type="containsText" dxfId="19" priority="5" stopIfTrue="1" operator="containsText" text="No">
      <formula>NOT(ISERROR(SEARCH("No",C93)))</formula>
    </cfRule>
  </conditionalFormatting>
  <conditionalFormatting sqref="C95 F95 I95 C97 F97 I97">
    <cfRule type="containsText" dxfId="18" priority="4" stopIfTrue="1" operator="containsText" text="No">
      <formula>NOT(ISERROR(SEARCH("No",C95)))</formula>
    </cfRule>
  </conditionalFormatting>
  <conditionalFormatting sqref="D67:H67 K67:L67">
    <cfRule type="containsText" dxfId="17" priority="10" operator="containsText" text="(4) The indicated Market Contribution exceeds the Maximal Market Contribution.">
      <formula>NOT(ISERROR(SEARCH("(4) The indicated Market Contribution exceeds the Maximal Market Contribution.",D67)))</formula>
    </cfRule>
  </conditionalFormatting>
  <conditionalFormatting sqref="E13">
    <cfRule type="expression" dxfId="16" priority="3">
      <formula>L68&lt;&gt;2</formula>
    </cfRule>
  </conditionalFormatting>
  <conditionalFormatting sqref="E14">
    <cfRule type="containsText" dxfId="15" priority="7" operator="containsText" text="Non">
      <formula>NOT(ISERROR(SEARCH("Non",E14)))</formula>
    </cfRule>
  </conditionalFormatting>
  <conditionalFormatting sqref="E70:F72 E74:F75 E77:F77 E79:F85 E87:F87">
    <cfRule type="containsText" dxfId="14" priority="11" operator="containsText" text="No">
      <formula>NOT(ISERROR(SEARCH("No",E70)))</formula>
    </cfRule>
  </conditionalFormatting>
  <conditionalFormatting sqref="F86">
    <cfRule type="containsText" dxfId="13" priority="2" operator="containsText" text="No">
      <formula>NOT(ISERROR(SEARCH("No",F86)))</formula>
    </cfRule>
  </conditionalFormatting>
  <conditionalFormatting sqref="F93 I93">
    <cfRule type="containsText" dxfId="12" priority="8" stopIfTrue="1" operator="containsText" text="No">
      <formula>NOT(ISERROR(SEARCH("No",F93)))</formula>
    </cfRule>
  </conditionalFormatting>
  <conditionalFormatting sqref="H48:J48 H49:K49">
    <cfRule type="expression" dxfId="11" priority="9">
      <formula>$K$48&lt;&gt;""</formula>
    </cfRule>
  </conditionalFormatting>
  <conditionalFormatting sqref="K48">
    <cfRule type="expression" dxfId="10" priority="1">
      <formula>$I$40&lt;&gt;""</formula>
    </cfRule>
  </conditionalFormatting>
  <conditionalFormatting sqref="L93 L95 L97">
    <cfRule type="containsText" dxfId="9" priority="6" stopIfTrue="1" operator="containsText" text="No">
      <formula>NOT(ISERROR(SEARCH("No",L93)))</formula>
    </cfRule>
  </conditionalFormatting>
  <dataValidations count="12">
    <dataValidation type="decimal" allowBlank="1" showInputMessage="1" showErrorMessage="1" errorTitle="Not a number" error="Enter the Envelope Contribution for this licence" sqref="D24:D25" xr:uid="{C45094B4-A319-42F6-A303-CBC454158F16}">
      <formula1>0</formula1>
      <formula2>999999999999999</formula2>
    </dataValidation>
    <dataValidation type="whole" allowBlank="1" showInputMessage="1" showErrorMessage="1" errorTitle="Not a number" error="Enter the Envelope Contribution for this licence" sqref="E47" xr:uid="{EE9472C9-3916-4985-8EFD-4378E319257C}">
      <formula1>0</formula1>
      <formula2>999999999999999</formula2>
    </dataValidation>
    <dataValidation type="whole" allowBlank="1" showInputMessage="1" showErrorMessage="1" error="le montanmt doit être égale ou plus petit que le maximum permis (15% du budget ou 225 000)_x000a__x000a__x000a_" sqref="D33" xr:uid="{4D384F14-42F8-48B3-A970-F16542D6F3EF}">
      <formula1>0</formula1>
      <formula2>C33</formula2>
    </dataValidation>
    <dataValidation type="list" allowBlank="1" showInputMessage="1" showErrorMessage="1" sqref="E13" xr:uid="{1E8DAF10-5875-4E07-BFC5-2C6B4141D985}">
      <formula1>IF($L$68=2,$K$69:$K$71,$K$71)</formula1>
    </dataValidation>
    <dataValidation type="list" allowBlank="1" showInputMessage="1" showErrorMessage="1" sqref="E10" xr:uid="{CADE1602-CB42-4B9A-8AD6-B6EE448C7861}">
      <formula1>$L$77:$L$79</formula1>
    </dataValidation>
    <dataValidation type="list" allowBlank="1" showInputMessage="1" showErrorMessage="1" sqref="E14 E11 E9" xr:uid="{E0B83B3E-F93D-4787-A592-2F69E7FDFE45}">
      <formula1>$K$69:$K$71</formula1>
    </dataValidation>
    <dataValidation allowBlank="1" showInputMessage="1" showErrorMessage="1" prompt="Please enter first the broadcasters, see note (1) here-above" sqref="E24:G24" xr:uid="{3E3A3D25-E6E3-4547-90A3-0F2158114E64}"/>
    <dataValidation type="date" allowBlank="1" showInputMessage="1" showErrorMessage="1" promptTitle="Date" prompt="ex. Y-M-D" sqref="H24:H29" xr:uid="{F2EC063A-9B0A-4FAE-B67E-9B33778304F1}">
      <formula1>36526</formula1>
      <formula2>401749</formula2>
    </dataValidation>
    <dataValidation type="whole" allowBlank="1" showInputMessage="1" showErrorMessage="1" promptTitle="# of months" prompt="Enter the licence term in months. Equations are allowable (i.e. =6*12)" sqref="J24:J29" xr:uid="{8371DEAB-7680-4C55-8F63-4EE02062887E}">
      <formula1>1</formula1>
      <formula2>999</formula2>
    </dataValidation>
    <dataValidation type="whole" allowBlank="1" showInputMessage="1" showErrorMessage="1" sqref="K24:K29" xr:uid="{63E7E432-EC1F-421D-8748-633074EB38A0}">
      <formula1>0</formula1>
      <formula2>999</formula2>
    </dataValidation>
    <dataValidation allowBlank="1" showInputMessage="1" showErrorMessage="1" promptTitle="Intl. Entity MMC" prompt="For C&amp;Y the ELF and MMC must be at least 75% of Threshold. Also see note (3)." sqref="K48" xr:uid="{1D0FC80D-FCEB-429A-94F3-CAEAD38010AB}"/>
    <dataValidation type="custom" showInputMessage="1" showErrorMessage="1" error="Please do not delete" sqref="L68 A68" xr:uid="{D07905B4-5216-44DD-A905-A2E1C0E43AA8}">
      <formula1>""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70" fitToHeight="3" orientation="landscape" r:id="rId1"/>
  <headerFooter alignWithMargins="0"/>
  <rowBreaks count="2" manualBreakCount="2">
    <brk id="37" max="10" man="1"/>
    <brk id="65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locked="0" defaultSize="0" autoLine="0" autoPict="0">
                <anchor moveWithCells="1">
                  <from>
                    <xdr:col>2</xdr:col>
                    <xdr:colOff>19050</xdr:colOff>
                    <xdr:row>3</xdr:row>
                    <xdr:rowOff>266700</xdr:rowOff>
                  </from>
                  <to>
                    <xdr:col>5</xdr:col>
                    <xdr:colOff>619125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locked="0" defaultSize="0" autoLine="0" autoPict="0">
                <anchor moveWithCells="1">
                  <from>
                    <xdr:col>1</xdr:col>
                    <xdr:colOff>914400</xdr:colOff>
                    <xdr:row>11</xdr:row>
                    <xdr:rowOff>38100</xdr:rowOff>
                  </from>
                  <to>
                    <xdr:col>3</xdr:col>
                    <xdr:colOff>914400</xdr:colOff>
                    <xdr:row>11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6CC8-A47E-4AE2-AD4A-6504B30FD9E5}">
  <sheetPr codeName="Feuil2">
    <tabColor rgb="FF00B0F0"/>
  </sheetPr>
  <dimension ref="A1:AQ237"/>
  <sheetViews>
    <sheetView zoomScaleNormal="100" zoomScaleSheetLayoutView="100" workbookViewId="0">
      <selection activeCell="B2" sqref="B2:E2"/>
    </sheetView>
  </sheetViews>
  <sheetFormatPr baseColWidth="10" defaultColWidth="8.88671875" defaultRowHeight="12.75" x14ac:dyDescent="0.2"/>
  <cols>
    <col min="1" max="1" width="10.5546875" style="13" customWidth="1"/>
    <col min="2" max="2" width="17.6640625" style="14" customWidth="1"/>
    <col min="3" max="4" width="13.44140625" style="13" customWidth="1"/>
    <col min="5" max="9" width="12.33203125" style="13" customWidth="1"/>
    <col min="10" max="11" width="10.77734375" style="13" customWidth="1"/>
    <col min="12" max="12" width="10.88671875" style="13" customWidth="1"/>
    <col min="13" max="14" width="11.77734375" style="13" customWidth="1"/>
    <col min="15" max="15" width="9.6640625" style="13" customWidth="1"/>
    <col min="16" max="16" width="10.77734375" style="13" hidden="1" customWidth="1"/>
    <col min="17" max="17" width="11.33203125" style="13" hidden="1" customWidth="1"/>
    <col min="18" max="18" width="8.88671875" style="13" hidden="1" customWidth="1"/>
    <col min="19" max="19" width="0" style="13" hidden="1" customWidth="1"/>
    <col min="20" max="43" width="8.88671875" style="13"/>
    <col min="44" max="16384" width="8.88671875" style="66"/>
  </cols>
  <sheetData>
    <row r="1" spans="1:38" s="119" customFormat="1" ht="71.45" customHeight="1" x14ac:dyDescent="0.25">
      <c r="A1" s="116"/>
      <c r="B1" s="117"/>
      <c r="C1" s="450" t="s">
        <v>73</v>
      </c>
      <c r="D1" s="450"/>
      <c r="E1" s="450"/>
      <c r="F1" s="450"/>
      <c r="G1" s="450"/>
      <c r="H1" s="450"/>
      <c r="I1" s="450"/>
      <c r="J1" s="450"/>
      <c r="K1" s="450"/>
      <c r="L1" s="451"/>
      <c r="M1" s="118"/>
      <c r="N1" s="118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</row>
    <row r="2" spans="1:38" s="20" customFormat="1" ht="32.1" customHeight="1" x14ac:dyDescent="0.2">
      <c r="A2" s="102" t="s">
        <v>74</v>
      </c>
      <c r="B2" s="452"/>
      <c r="C2" s="453"/>
      <c r="D2" s="453"/>
      <c r="E2" s="454"/>
      <c r="F2" s="102" t="s">
        <v>75</v>
      </c>
      <c r="G2" s="452"/>
      <c r="H2" s="456"/>
      <c r="I2" s="102"/>
      <c r="J2" s="103" t="s">
        <v>76</v>
      </c>
      <c r="K2" s="455"/>
      <c r="L2" s="456"/>
      <c r="M2" s="15"/>
    </row>
    <row r="3" spans="1:38" s="20" customFormat="1" ht="24" customHeight="1" x14ac:dyDescent="0.2">
      <c r="A3" s="57" t="s">
        <v>77</v>
      </c>
      <c r="B3" s="17"/>
      <c r="C3" s="54"/>
      <c r="D3" s="37"/>
      <c r="G3" s="56"/>
      <c r="K3" s="27"/>
      <c r="L3" s="27"/>
      <c r="M3" s="15"/>
    </row>
    <row r="4" spans="1:38" s="13" customFormat="1" ht="17.100000000000001" customHeight="1" x14ac:dyDescent="0.2">
      <c r="A4" s="52"/>
      <c r="B4" s="52"/>
      <c r="C4" s="52"/>
      <c r="G4" s="55"/>
      <c r="H4" s="55"/>
      <c r="I4" s="55"/>
      <c r="J4" s="55"/>
      <c r="K4" s="55"/>
      <c r="L4" s="55"/>
      <c r="M4" s="54"/>
    </row>
    <row r="5" spans="1:38" s="13" customFormat="1" ht="24" customHeight="1" x14ac:dyDescent="0.2">
      <c r="A5" s="460" t="s">
        <v>78</v>
      </c>
      <c r="B5" s="461"/>
      <c r="C5" s="16"/>
      <c r="D5" s="46"/>
      <c r="E5" s="46"/>
      <c r="G5" s="55"/>
      <c r="H5" s="55"/>
      <c r="I5" s="55"/>
      <c r="J5" s="55"/>
      <c r="K5" s="55"/>
      <c r="L5" s="55"/>
      <c r="M5" s="54"/>
    </row>
    <row r="6" spans="1:38" s="13" customFormat="1" ht="17.100000000000001" customHeight="1" x14ac:dyDescent="0.2">
      <c r="A6" s="16"/>
      <c r="B6" s="16"/>
      <c r="C6" s="16"/>
      <c r="D6" s="48"/>
      <c r="E6" s="48"/>
      <c r="F6" s="50"/>
      <c r="G6" s="16"/>
      <c r="H6" s="16"/>
      <c r="I6" s="16"/>
      <c r="J6" s="48"/>
      <c r="K6" s="48"/>
      <c r="L6" s="50"/>
      <c r="M6" s="16"/>
    </row>
    <row r="7" spans="1:38" s="13" customFormat="1" ht="30" customHeight="1" x14ac:dyDescent="0.2">
      <c r="A7" s="53"/>
      <c r="B7" s="53" t="s">
        <v>36</v>
      </c>
      <c r="C7" s="408" t="s">
        <v>79</v>
      </c>
      <c r="D7" s="459"/>
      <c r="E7" s="81"/>
      <c r="F7" s="52" t="s">
        <v>80</v>
      </c>
      <c r="G7" s="82"/>
      <c r="I7" s="105" t="s">
        <v>81</v>
      </c>
      <c r="J7" s="82"/>
      <c r="K7" s="52" t="s">
        <v>82</v>
      </c>
      <c r="L7" s="120">
        <f>(G7*J7)/60</f>
        <v>0</v>
      </c>
      <c r="M7" s="51"/>
    </row>
    <row r="8" spans="1:38" s="16" customFormat="1" ht="20.100000000000001" customHeight="1" x14ac:dyDescent="0.2">
      <c r="D8" s="48"/>
      <c r="E8" s="48"/>
      <c r="F8" s="50"/>
      <c r="K8" s="49" t="s">
        <v>83</v>
      </c>
      <c r="L8" s="121">
        <f>IF(L7=0,0,$E$7/$L$7)</f>
        <v>0</v>
      </c>
    </row>
    <row r="9" spans="1:38" s="16" customFormat="1" ht="30" customHeight="1" x14ac:dyDescent="0.2">
      <c r="C9" s="457" t="s">
        <v>84</v>
      </c>
      <c r="D9" s="458"/>
      <c r="E9" s="42"/>
      <c r="F9" s="4">
        <f>IF(E9="Oui",60%,49%)</f>
        <v>0.49</v>
      </c>
      <c r="G9" s="71"/>
      <c r="H9" s="47"/>
      <c r="I9" s="47"/>
      <c r="J9" s="47"/>
      <c r="K9" s="47"/>
      <c r="L9" s="47"/>
    </row>
    <row r="10" spans="1:38" s="16" customFormat="1" x14ac:dyDescent="0.2">
      <c r="D10" s="48"/>
      <c r="E10" s="48"/>
      <c r="F10" s="50"/>
      <c r="K10" s="49"/>
      <c r="L10" s="49"/>
    </row>
    <row r="11" spans="1:38" s="16" customFormat="1" ht="30" customHeight="1" x14ac:dyDescent="0.2">
      <c r="C11" s="391" t="s">
        <v>86</v>
      </c>
      <c r="D11" s="392"/>
      <c r="E11" s="12"/>
      <c r="F11" s="47"/>
      <c r="G11" s="47"/>
      <c r="H11" s="47"/>
      <c r="I11" s="47"/>
      <c r="J11" s="401" t="s">
        <v>88</v>
      </c>
      <c r="K11" s="402"/>
      <c r="L11" s="126" t="str">
        <f>IF(OR(A68=1,A68=18,N(E$7)=0,L$8=0),"",
IF(AND(AND(A$68&gt;11,A$68&lt;16),L8&gt;=800000),"Oui",
IF(AND(OR(A$68=2,A$68=3,A$68=10,A$68=11),L8&gt;=750000),"Oui",
IF(AND(AND(A$68&gt;5,A$68&lt;10),L8&gt;=400000),"Oui",
"Non"))))</f>
        <v/>
      </c>
      <c r="M11" s="127" t="str">
        <f>IFERROR(IF(L11="Oui","S/O pour les productions d’animation",""),"")</f>
        <v/>
      </c>
    </row>
    <row r="12" spans="1:38" s="16" customFormat="1" ht="30" customHeight="1" x14ac:dyDescent="0.2">
      <c r="C12" s="2"/>
      <c r="D12" s="2"/>
      <c r="E12" s="72"/>
      <c r="F12" s="47"/>
      <c r="G12" s="47"/>
      <c r="H12" s="47"/>
      <c r="I12" s="47"/>
      <c r="J12" s="401" t="s">
        <v>89</v>
      </c>
      <c r="K12" s="402"/>
      <c r="L12" s="8" t="str">
        <f>IF(N(E$7)=0,"",IF(E$7&gt;500000,"Oui","Non"))</f>
        <v/>
      </c>
      <c r="M12" s="127" t="str">
        <f>IFERROR(IF(L12="Oui","S/O pour les productions tournées en direct",""),"")</f>
        <v/>
      </c>
    </row>
    <row r="13" spans="1:38" s="16" customFormat="1" ht="17.100000000000001" customHeight="1" x14ac:dyDescent="0.2">
      <c r="C13" s="46"/>
      <c r="D13" s="48"/>
      <c r="E13" s="48"/>
      <c r="F13" s="48"/>
      <c r="G13" s="47"/>
      <c r="H13" s="47"/>
      <c r="I13" s="47"/>
      <c r="J13" s="47"/>
      <c r="K13" s="47"/>
      <c r="L13" s="47"/>
    </row>
    <row r="14" spans="1:38" s="85" customFormat="1" ht="30" customHeight="1" x14ac:dyDescent="0.2">
      <c r="B14" s="86"/>
      <c r="C14" s="411" t="s">
        <v>90</v>
      </c>
      <c r="D14" s="412"/>
      <c r="E14" s="7"/>
      <c r="F14" s="87"/>
      <c r="G14"/>
      <c r="H14"/>
      <c r="I14"/>
      <c r="J14"/>
      <c r="K14" s="88"/>
      <c r="L14" s="87"/>
      <c r="M14" s="87"/>
    </row>
    <row r="15" spans="1:38" s="85" customFormat="1" ht="30" customHeight="1" x14ac:dyDescent="0.2">
      <c r="B15" s="86"/>
      <c r="C15" s="411" t="s">
        <v>91</v>
      </c>
      <c r="D15" s="412"/>
      <c r="E15" s="354">
        <f>IF(E14="Oui",C30-E16,0)</f>
        <v>0</v>
      </c>
      <c r="F15" s="87"/>
      <c r="I15" s="89"/>
      <c r="J15" s="87"/>
      <c r="K15" s="87"/>
      <c r="L15" s="87"/>
      <c r="M15" s="87"/>
    </row>
    <row r="16" spans="1:38" s="89" customFormat="1" ht="30" customHeight="1" x14ac:dyDescent="0.2">
      <c r="B16" s="86"/>
      <c r="C16" s="411" t="s">
        <v>92</v>
      </c>
      <c r="D16" s="412"/>
      <c r="E16" s="122"/>
      <c r="F16" s="87"/>
      <c r="J16" s="84"/>
      <c r="K16" s="88"/>
      <c r="L16" s="84"/>
      <c r="M16" s="84"/>
    </row>
    <row r="17" spans="1:12" s="85" customFormat="1" ht="15" hidden="1" x14ac:dyDescent="0.2">
      <c r="A17" s="90"/>
      <c r="B17" s="91"/>
      <c r="C17" s="91"/>
      <c r="D17" s="91"/>
      <c r="F17" s="92"/>
      <c r="G17" s="92"/>
      <c r="H17" s="92"/>
      <c r="I17" s="89"/>
      <c r="J17" s="87"/>
      <c r="K17" s="87"/>
      <c r="L17" s="87"/>
    </row>
    <row r="18" spans="1:12" s="85" customFormat="1" ht="17.100000000000001" customHeight="1" x14ac:dyDescent="0.2">
      <c r="A18" s="77"/>
      <c r="B18" s="91"/>
      <c r="C18" s="91"/>
      <c r="D18" s="91"/>
      <c r="F18" s="92"/>
      <c r="G18" s="92"/>
      <c r="H18" s="92"/>
      <c r="I18" s="89"/>
      <c r="J18" s="87"/>
      <c r="K18" s="87"/>
      <c r="L18" s="87"/>
    </row>
    <row r="19" spans="1:12" s="16" customFormat="1" ht="17.100000000000001" customHeight="1" x14ac:dyDescent="0.2">
      <c r="A19" s="379" t="s">
        <v>241</v>
      </c>
      <c r="B19" s="28"/>
      <c r="C19" s="35"/>
      <c r="E19" s="15"/>
      <c r="F19" s="15"/>
      <c r="G19" s="34"/>
      <c r="J19" s="15"/>
    </row>
    <row r="20" spans="1:12" s="16" customFormat="1" ht="17.100000000000001" customHeight="1" x14ac:dyDescent="0.2">
      <c r="A20" s="77" t="s">
        <v>93</v>
      </c>
      <c r="B20" s="28"/>
      <c r="C20" s="35"/>
      <c r="E20" s="15"/>
      <c r="F20" s="15"/>
      <c r="G20" s="34"/>
      <c r="J20" s="15"/>
    </row>
    <row r="21" spans="1:12" s="16" customFormat="1" ht="17.100000000000001" customHeight="1" x14ac:dyDescent="0.2">
      <c r="A21" s="65" t="s">
        <v>94</v>
      </c>
      <c r="D21" s="28"/>
      <c r="E21" s="45"/>
      <c r="F21" s="45"/>
      <c r="G21" s="44"/>
      <c r="H21" s="380"/>
      <c r="I21" s="381"/>
      <c r="J21" s="384" t="s">
        <v>95</v>
      </c>
      <c r="K21" s="382"/>
      <c r="L21" s="383"/>
    </row>
    <row r="22" spans="1:12" s="16" customFormat="1" ht="92.25" customHeight="1" x14ac:dyDescent="0.2">
      <c r="A22" s="468" t="s">
        <v>193</v>
      </c>
      <c r="B22" s="469"/>
      <c r="C22" s="43" t="s">
        <v>96</v>
      </c>
      <c r="D22" s="261" t="s">
        <v>240</v>
      </c>
      <c r="E22" s="95" t="s">
        <v>97</v>
      </c>
      <c r="F22" s="11" t="s">
        <v>98</v>
      </c>
      <c r="G22" s="11" t="s">
        <v>192</v>
      </c>
      <c r="H22" s="68" t="s">
        <v>99</v>
      </c>
      <c r="I22" s="68" t="s">
        <v>100</v>
      </c>
      <c r="J22" s="19" t="s">
        <v>101</v>
      </c>
      <c r="K22" s="260" t="s">
        <v>102</v>
      </c>
      <c r="L22" s="19" t="s">
        <v>103</v>
      </c>
    </row>
    <row r="23" spans="1:12" s="16" customFormat="1" ht="18" customHeight="1" x14ac:dyDescent="0.2">
      <c r="A23" s="93"/>
      <c r="B23" s="94" t="s">
        <v>104</v>
      </c>
      <c r="C23" s="270">
        <f>$E$16</f>
        <v>0</v>
      </c>
      <c r="D23" s="96"/>
      <c r="E23" s="97"/>
      <c r="F23" s="79"/>
      <c r="G23" s="79"/>
      <c r="H23" s="97"/>
      <c r="I23" s="97"/>
      <c r="J23" s="98"/>
      <c r="K23" s="98"/>
      <c r="L23" s="99"/>
    </row>
    <row r="24" spans="1:12" s="16" customFormat="1" ht="18" customHeight="1" x14ac:dyDescent="0.2">
      <c r="A24" s="21" t="s">
        <v>105</v>
      </c>
      <c r="B24" s="9"/>
      <c r="C24" s="76"/>
      <c r="D24" s="76"/>
      <c r="E24" s="75"/>
      <c r="F24" s="75"/>
      <c r="G24" s="75"/>
      <c r="H24" s="385"/>
      <c r="I24" s="128">
        <f t="shared" ref="I24:I29" si="0">DATE(YEAR(H24),(MONTH(H24)+J24),DAY(H24))</f>
        <v>0</v>
      </c>
      <c r="J24" s="41"/>
      <c r="K24" s="40"/>
      <c r="L24" s="40"/>
    </row>
    <row r="25" spans="1:12" s="16" customFormat="1" ht="18" customHeight="1" x14ac:dyDescent="0.2">
      <c r="A25" s="21" t="s">
        <v>106</v>
      </c>
      <c r="B25" s="9"/>
      <c r="C25" s="76"/>
      <c r="D25" s="76"/>
      <c r="E25" s="76"/>
      <c r="F25" s="76"/>
      <c r="G25" s="76"/>
      <c r="H25" s="385"/>
      <c r="I25" s="128">
        <f t="shared" si="0"/>
        <v>0</v>
      </c>
      <c r="J25" s="41"/>
      <c r="K25" s="40"/>
      <c r="L25" s="40"/>
    </row>
    <row r="26" spans="1:12" s="16" customFormat="1" ht="18" customHeight="1" x14ac:dyDescent="0.2">
      <c r="A26" s="21" t="s">
        <v>107</v>
      </c>
      <c r="B26" s="9"/>
      <c r="C26" s="76"/>
      <c r="D26" s="76"/>
      <c r="E26" s="76"/>
      <c r="F26" s="76"/>
      <c r="G26" s="76"/>
      <c r="H26" s="385"/>
      <c r="I26" s="128">
        <f t="shared" si="0"/>
        <v>0</v>
      </c>
      <c r="J26" s="41"/>
      <c r="K26" s="40"/>
      <c r="L26" s="40"/>
    </row>
    <row r="27" spans="1:12" s="16" customFormat="1" ht="18" customHeight="1" x14ac:dyDescent="0.2">
      <c r="A27" s="21" t="s">
        <v>108</v>
      </c>
      <c r="B27" s="9"/>
      <c r="C27" s="76"/>
      <c r="D27" s="76"/>
      <c r="E27" s="76"/>
      <c r="F27" s="76"/>
      <c r="G27" s="76"/>
      <c r="H27" s="385"/>
      <c r="I27" s="128">
        <f t="shared" si="0"/>
        <v>0</v>
      </c>
      <c r="J27" s="41"/>
      <c r="K27" s="40"/>
      <c r="L27" s="40"/>
    </row>
    <row r="28" spans="1:12" s="16" customFormat="1" ht="18" customHeight="1" x14ac:dyDescent="0.2">
      <c r="A28" s="21" t="s">
        <v>109</v>
      </c>
      <c r="B28" s="9"/>
      <c r="C28" s="76"/>
      <c r="D28" s="76"/>
      <c r="E28" s="76"/>
      <c r="F28" s="76"/>
      <c r="G28" s="76"/>
      <c r="H28" s="385"/>
      <c r="I28" s="128">
        <f t="shared" si="0"/>
        <v>0</v>
      </c>
      <c r="J28" s="41"/>
      <c r="K28" s="40"/>
      <c r="L28" s="40"/>
    </row>
    <row r="29" spans="1:12" s="16" customFormat="1" ht="18" customHeight="1" thickBot="1" x14ac:dyDescent="0.25">
      <c r="A29" s="19" t="s">
        <v>110</v>
      </c>
      <c r="B29" s="9"/>
      <c r="C29" s="76"/>
      <c r="D29" s="76"/>
      <c r="E29" s="76"/>
      <c r="F29" s="76"/>
      <c r="G29" s="76"/>
      <c r="H29" s="385"/>
      <c r="I29" s="128">
        <f t="shared" si="0"/>
        <v>0</v>
      </c>
      <c r="J29" s="41"/>
      <c r="K29" s="40"/>
      <c r="L29" s="40"/>
    </row>
    <row r="30" spans="1:12" s="16" customFormat="1" ht="24.95" customHeight="1" thickBot="1" x14ac:dyDescent="0.25">
      <c r="A30" s="39"/>
      <c r="B30" s="38" t="s">
        <v>111</v>
      </c>
      <c r="C30" s="63">
        <f>SUM(C23:C29)</f>
        <v>0</v>
      </c>
      <c r="D30" s="63">
        <f>SUM(D24:D29)</f>
        <v>0</v>
      </c>
      <c r="E30" s="63">
        <f>SUM(E24:E29)</f>
        <v>0</v>
      </c>
      <c r="F30" s="63">
        <f>SUM(F24:F29)</f>
        <v>0</v>
      </c>
      <c r="G30" s="63">
        <f>SUM(G24:G29)</f>
        <v>0</v>
      </c>
      <c r="K30" s="26"/>
      <c r="L30" s="26"/>
    </row>
    <row r="31" spans="1:12" s="37" customFormat="1" ht="18.75" customHeight="1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customFormat="1" ht="15" hidden="1" x14ac:dyDescent="0.2"/>
    <row r="33" spans="1:19" customFormat="1" ht="15" hidden="1" x14ac:dyDescent="0.2">
      <c r="A33" s="36"/>
      <c r="B33" s="28"/>
      <c r="C33" s="35"/>
      <c r="D33" s="16"/>
      <c r="E33" s="15"/>
      <c r="F33" s="15"/>
      <c r="G33" s="34"/>
      <c r="H33" s="16"/>
      <c r="I33" s="16"/>
      <c r="J33" s="15"/>
      <c r="K33" s="16"/>
      <c r="L33" s="16"/>
    </row>
    <row r="34" spans="1:19" s="16" customFormat="1" ht="24" customHeight="1" x14ac:dyDescent="0.2">
      <c r="A34" s="474" t="s">
        <v>112</v>
      </c>
      <c r="B34" s="476"/>
      <c r="C34" s="477"/>
      <c r="D34" s="477"/>
      <c r="E34" s="477"/>
      <c r="F34" s="477"/>
      <c r="G34" s="477"/>
      <c r="H34" s="477"/>
      <c r="I34" s="477"/>
      <c r="J34" s="477"/>
      <c r="K34" s="477"/>
      <c r="L34" s="478"/>
      <c r="N34" s="15"/>
      <c r="O34" s="15"/>
      <c r="P34" s="15"/>
      <c r="Q34" s="15"/>
      <c r="R34" s="15"/>
    </row>
    <row r="35" spans="1:19" s="16" customFormat="1" ht="24" customHeight="1" x14ac:dyDescent="0.2">
      <c r="A35" s="475"/>
      <c r="B35" s="479"/>
      <c r="C35" s="479"/>
      <c r="D35" s="479"/>
      <c r="E35" s="479"/>
      <c r="F35" s="479"/>
      <c r="G35" s="479"/>
      <c r="H35" s="479"/>
      <c r="I35" s="479"/>
      <c r="J35" s="479"/>
      <c r="K35" s="479"/>
      <c r="L35" s="480"/>
      <c r="M35" s="100"/>
      <c r="N35" s="101"/>
      <c r="O35" s="20"/>
      <c r="P35" s="20"/>
      <c r="Q35" s="15"/>
      <c r="R35" s="15"/>
    </row>
    <row r="36" spans="1:19" s="16" customFormat="1" ht="18.75" hidden="1" customHeight="1" x14ac:dyDescent="0.2">
      <c r="A36" s="60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00"/>
      <c r="N36" s="101"/>
      <c r="O36" s="20"/>
      <c r="P36" s="20"/>
      <c r="Q36" s="15"/>
      <c r="R36" s="15"/>
    </row>
    <row r="37" spans="1:19" s="16" customFormat="1" ht="18.75" customHeight="1" x14ac:dyDescent="0.2">
      <c r="A37" s="3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/>
      <c r="O37" s="15"/>
      <c r="P37" s="15"/>
      <c r="Q37" s="15"/>
      <c r="R37" s="15"/>
    </row>
    <row r="38" spans="1:19" s="67" customFormat="1" ht="15.75" x14ac:dyDescent="0.25">
      <c r="A38" s="25" t="s">
        <v>113</v>
      </c>
      <c r="B38" s="32"/>
      <c r="C38" s="31"/>
      <c r="D38" s="31"/>
      <c r="E38" s="31"/>
      <c r="F38" s="31"/>
      <c r="G38" s="30"/>
      <c r="H38" s="464" t="s">
        <v>114</v>
      </c>
      <c r="I38" s="465"/>
      <c r="J38" s="466"/>
      <c r="K38" s="30"/>
      <c r="L38" s="29"/>
      <c r="M38"/>
      <c r="N38"/>
      <c r="O38" s="13"/>
      <c r="P38" s="13"/>
      <c r="Q38" s="13"/>
      <c r="R38" s="13"/>
    </row>
    <row r="39" spans="1:19" s="16" customFormat="1" ht="81" customHeight="1" x14ac:dyDescent="0.2">
      <c r="A39" s="468" t="s">
        <v>194</v>
      </c>
      <c r="B39" s="469"/>
      <c r="C39" s="129" t="s">
        <v>115</v>
      </c>
      <c r="D39" s="129" t="s">
        <v>116</v>
      </c>
      <c r="E39" s="130" t="s">
        <v>117</v>
      </c>
      <c r="F39" s="130" t="s">
        <v>118</v>
      </c>
      <c r="G39" s="264" t="s">
        <v>119</v>
      </c>
      <c r="H39" s="262" t="s">
        <v>120</v>
      </c>
      <c r="I39" s="263" t="s">
        <v>121</v>
      </c>
      <c r="J39" s="285" t="s">
        <v>195</v>
      </c>
      <c r="K39" s="265" t="s">
        <v>122</v>
      </c>
      <c r="L39" s="131" t="s">
        <v>123</v>
      </c>
      <c r="M39" s="131" t="s">
        <v>124</v>
      </c>
      <c r="N39" s="132"/>
      <c r="P39" s="68" t="s">
        <v>125</v>
      </c>
      <c r="Q39" s="68" t="s">
        <v>125</v>
      </c>
      <c r="R39" s="68" t="s">
        <v>126</v>
      </c>
      <c r="S39" s="68" t="s">
        <v>127</v>
      </c>
    </row>
    <row r="40" spans="1:19" s="16" customFormat="1" ht="15" x14ac:dyDescent="0.2">
      <c r="A40" s="133"/>
      <c r="B40" s="134" t="s">
        <v>104</v>
      </c>
      <c r="C40" s="135">
        <f>IF($E$47-(E7*0.4)&lt;100000,E40,IF((E7*0.4)&lt;MIN(E16,E90:E92),ROUND(E7*0.4,0),MIN(E16,E90:E92)))</f>
        <v>0</v>
      </c>
      <c r="D40" s="135">
        <f>E40-C40</f>
        <v>0</v>
      </c>
      <c r="E40" s="135">
        <f>IF(MAX(E$90:E$92)&lt;E16,MAX(E$90:E$92),(E16))</f>
        <v>0</v>
      </c>
      <c r="F40" s="256" t="str">
        <f>IF(E$7=0,"",E40/E$7)</f>
        <v/>
      </c>
      <c r="G40" s="136"/>
      <c r="H40" s="266"/>
      <c r="I40" s="266"/>
      <c r="J40" s="266"/>
      <c r="K40" s="137"/>
      <c r="L40" s="138"/>
      <c r="M40" s="139"/>
      <c r="N40" s="132"/>
      <c r="P40" s="104"/>
      <c r="Q40" s="104"/>
      <c r="R40" s="104"/>
      <c r="S40" s="113"/>
    </row>
    <row r="41" spans="1:19" s="16" customFormat="1" ht="14.25" customHeight="1" x14ac:dyDescent="0.2">
      <c r="A41" s="140" t="s">
        <v>105</v>
      </c>
      <c r="B41" s="141">
        <f>$B$24</f>
        <v>0</v>
      </c>
      <c r="C41" s="135">
        <f>IF(($C$47-$C$40)&gt;0,ROUND(E41/($E$47-$E$40)*($C$47-$C$40),0),0)</f>
        <v>0</v>
      </c>
      <c r="D41" s="135">
        <f t="shared" ref="D41:D46" si="1">E41-C41</f>
        <v>0</v>
      </c>
      <c r="E41" s="135">
        <f>IF($E$47-$E$40=0,0,ROUND(C24/($C$30-$C$23)*($E$47-$E$40),0))</f>
        <v>0</v>
      </c>
      <c r="F41" s="256" t="str">
        <f t="shared" ref="F41:F46" si="2">IF(E$7=0,"",E41/E$7)</f>
        <v/>
      </c>
      <c r="G41" s="142">
        <f>$H$54</f>
        <v>0</v>
      </c>
      <c r="H41" s="142" t="s">
        <v>128</v>
      </c>
      <c r="I41" s="142" t="s">
        <v>128</v>
      </c>
      <c r="J41" s="142" t="s">
        <v>128</v>
      </c>
      <c r="K41" s="143" t="str">
        <f>IF($E$7=0,"",(G41+N(H41)+N(I41)+N(J41))/$E$7)</f>
        <v/>
      </c>
      <c r="L41" s="144"/>
      <c r="M41" s="142">
        <f>N(D24)+N(E24)+N(F24)+N(G24)-N(G41)-N(H41)-N(I41)-N(J41)</f>
        <v>0</v>
      </c>
      <c r="N41" s="132"/>
      <c r="P41" s="69">
        <f>IF(J24&lt;72,J24,72)</f>
        <v>0</v>
      </c>
      <c r="Q41" s="69">
        <f>IF(J24&lt;72,J24,72)</f>
        <v>0</v>
      </c>
      <c r="R41" s="69">
        <f t="shared" ref="R41:R46" si="3">K24</f>
        <v>0</v>
      </c>
      <c r="S41" s="114" t="s">
        <v>128</v>
      </c>
    </row>
    <row r="42" spans="1:19" s="16" customFormat="1" ht="14.25" customHeight="1" x14ac:dyDescent="0.2">
      <c r="A42" s="145" t="s">
        <v>106</v>
      </c>
      <c r="B42" s="146">
        <f>$B$25</f>
        <v>0</v>
      </c>
      <c r="C42" s="135">
        <f t="shared" ref="C42:C46" si="4">IF(($C$47-$C$40)&gt;0,ROUND(E42/($E$47-$E$40)*($C$47-$C$40),0),0)</f>
        <v>0</v>
      </c>
      <c r="D42" s="135">
        <f t="shared" si="1"/>
        <v>0</v>
      </c>
      <c r="E42" s="135">
        <f t="shared" ref="E42:E46" si="5">IF($E$47-$E$40=0,0,ROUND(C25/($C$30-$C$23)*($E$47-$E$40),0))</f>
        <v>0</v>
      </c>
      <c r="F42" s="256" t="str">
        <f t="shared" si="2"/>
        <v/>
      </c>
      <c r="G42" s="147">
        <f>$H$56</f>
        <v>0</v>
      </c>
      <c r="H42" s="147" t="str">
        <f>IF($E$30=0,"",ROUND((E25*H$47/$E$30),0))</f>
        <v/>
      </c>
      <c r="I42" s="147" t="str">
        <f>IF(OR(A$68&lt;3,$F$30=0),"",ROUND((F25*I$47/$F$30),0))</f>
        <v/>
      </c>
      <c r="J42" s="147" t="str">
        <f>IF($G$30=0,"",ROUND((G25*J$47/$G$30),0))</f>
        <v/>
      </c>
      <c r="K42" s="143" t="str">
        <f t="shared" ref="K42:K46" si="6">IF($E$7=0,"",(G42+N(H42)+N(I42)+N(J42))/$E$7)</f>
        <v/>
      </c>
      <c r="L42" s="144"/>
      <c r="M42" s="147">
        <f t="shared" ref="M42:M46" si="7">N(D25)+N(E25)+N(F25)+N(G25)-N(G42)-N(H42)-N(I42)-N(J42)</f>
        <v>0</v>
      </c>
      <c r="N42" s="132"/>
      <c r="P42" s="70">
        <f>IF($J25=0,0,IF($J25&lt;$F56,$J25,$F$56))</f>
        <v>0</v>
      </c>
      <c r="Q42" s="70">
        <f>IF(J25=0,0,IF(J25&lt;F56,J25,F56))</f>
        <v>0</v>
      </c>
      <c r="R42" s="70">
        <f t="shared" si="3"/>
        <v>0</v>
      </c>
      <c r="S42" s="115">
        <f>IF(H25&gt;DATE(YEAR(H24),MONTH(H24)+R41,DAY(H24)),H25,DATE(YEAR(H24),MONTH(H24)+R41,DAY(H24)))</f>
        <v>0</v>
      </c>
    </row>
    <row r="43" spans="1:19" s="16" customFormat="1" ht="14.25" customHeight="1" x14ac:dyDescent="0.2">
      <c r="A43" s="145" t="s">
        <v>107</v>
      </c>
      <c r="B43" s="148">
        <f>B26</f>
        <v>0</v>
      </c>
      <c r="C43" s="135">
        <f t="shared" si="4"/>
        <v>0</v>
      </c>
      <c r="D43" s="135">
        <f t="shared" si="1"/>
        <v>0</v>
      </c>
      <c r="E43" s="135">
        <f t="shared" si="5"/>
        <v>0</v>
      </c>
      <c r="F43" s="256" t="str">
        <f t="shared" si="2"/>
        <v/>
      </c>
      <c r="G43" s="147">
        <f>$H$58</f>
        <v>0</v>
      </c>
      <c r="H43" s="147" t="str">
        <f>IF($E$30=0,"",ROUND((E26*H$47/$E$30),0))</f>
        <v/>
      </c>
      <c r="I43" s="147" t="str">
        <f t="shared" ref="I43:I46" si="8">IF(OR(A$68&lt;3,$F$30=0),"",ROUND((F26*I$47/$F$30),0))</f>
        <v/>
      </c>
      <c r="J43" s="147" t="str">
        <f>IF($G$30=0,"",ROUND((G26*J$47/$G$30),0))</f>
        <v/>
      </c>
      <c r="K43" s="143" t="str">
        <f t="shared" si="6"/>
        <v/>
      </c>
      <c r="L43" s="144"/>
      <c r="M43" s="147">
        <f t="shared" si="7"/>
        <v>0</v>
      </c>
      <c r="N43" s="132"/>
      <c r="P43" s="70">
        <f>IF($J26=0,0,IF($J26&lt;$F58,$J26,$F$58))</f>
        <v>0</v>
      </c>
      <c r="Q43" s="70">
        <f>IF(J26=0,0,IF(J26&lt;F58,J26,F58))</f>
        <v>0</v>
      </c>
      <c r="R43" s="70">
        <f t="shared" si="3"/>
        <v>0</v>
      </c>
      <c r="S43" s="115">
        <f>IF(H26&gt;DATE(YEAR(H24),MONTH(H24)+R41+R42,DAY(H24)),H26,DATE(YEAR(H24),MONTH(H24)+R41+R42,DAY(H24)))</f>
        <v>0</v>
      </c>
    </row>
    <row r="44" spans="1:19" s="16" customFormat="1" ht="14.25" customHeight="1" x14ac:dyDescent="0.2">
      <c r="A44" s="145" t="s">
        <v>108</v>
      </c>
      <c r="B44" s="148">
        <f>$B$27</f>
        <v>0</v>
      </c>
      <c r="C44" s="135">
        <f t="shared" si="4"/>
        <v>0</v>
      </c>
      <c r="D44" s="135">
        <f t="shared" si="1"/>
        <v>0</v>
      </c>
      <c r="E44" s="135">
        <f t="shared" si="5"/>
        <v>0</v>
      </c>
      <c r="F44" s="256" t="str">
        <f t="shared" si="2"/>
        <v/>
      </c>
      <c r="G44" s="147">
        <f>$H$60</f>
        <v>0</v>
      </c>
      <c r="H44" s="147" t="str">
        <f>IF($E$30=0,"",ROUND((E27*H$47/$E$30),0))</f>
        <v/>
      </c>
      <c r="I44" s="147" t="str">
        <f t="shared" si="8"/>
        <v/>
      </c>
      <c r="J44" s="147" t="str">
        <f>IF($G$30=0,"",ROUND((G27*J$47/$G$30),0))</f>
        <v/>
      </c>
      <c r="K44" s="143" t="str">
        <f t="shared" si="6"/>
        <v/>
      </c>
      <c r="L44" s="144"/>
      <c r="M44" s="147">
        <f t="shared" si="7"/>
        <v>0</v>
      </c>
      <c r="N44" s="132"/>
      <c r="P44" s="70">
        <f>IF($K27=0,0,IF($K27&lt;$F60,$K27,$F$60))</f>
        <v>0</v>
      </c>
      <c r="Q44" s="70">
        <f>IF(J27=0,0,IF(J27&lt;F60,J27,F60))</f>
        <v>0</v>
      </c>
      <c r="R44" s="70">
        <f t="shared" si="3"/>
        <v>0</v>
      </c>
      <c r="S44" s="115">
        <f>IF(H27&gt;DATE(YEAR(H24),MONTH(H24)+R41+R42+R43,DAY(H24)),H27,DATE(YEAR(H24),MONTH(H24)+R41+R42+R43,DAY(H24)))</f>
        <v>0</v>
      </c>
    </row>
    <row r="45" spans="1:19" s="16" customFormat="1" ht="14.25" customHeight="1" x14ac:dyDescent="0.2">
      <c r="A45" s="149" t="s">
        <v>109</v>
      </c>
      <c r="B45" s="148">
        <f>$B$28</f>
        <v>0</v>
      </c>
      <c r="C45" s="135">
        <f t="shared" si="4"/>
        <v>0</v>
      </c>
      <c r="D45" s="135">
        <f t="shared" si="1"/>
        <v>0</v>
      </c>
      <c r="E45" s="135">
        <f t="shared" si="5"/>
        <v>0</v>
      </c>
      <c r="F45" s="256" t="str">
        <f t="shared" si="2"/>
        <v/>
      </c>
      <c r="G45" s="147">
        <f>$H$62</f>
        <v>0</v>
      </c>
      <c r="H45" s="147" t="str">
        <f>IF($E$30=0,"",ROUND((E28*H$47/$E$30),0))</f>
        <v/>
      </c>
      <c r="I45" s="147" t="str">
        <f t="shared" si="8"/>
        <v/>
      </c>
      <c r="J45" s="147" t="str">
        <f>IF($G$30=0,"",ROUND((G28*J$47/$G$30),0))</f>
        <v/>
      </c>
      <c r="K45" s="143" t="str">
        <f t="shared" si="6"/>
        <v/>
      </c>
      <c r="L45" s="144"/>
      <c r="M45" s="147">
        <f t="shared" si="7"/>
        <v>0</v>
      </c>
      <c r="N45" s="132"/>
      <c r="P45" s="70">
        <f>IF($K28=0,0,IF($K28&lt;$F62,$K28,$F$62))</f>
        <v>0</v>
      </c>
      <c r="Q45" s="70">
        <f>IF(J28=0,0,IF(J28&lt;F62,J28,F62))</f>
        <v>0</v>
      </c>
      <c r="R45" s="70">
        <f t="shared" si="3"/>
        <v>0</v>
      </c>
      <c r="S45" s="115">
        <f>IF(H28&gt;DATE(YEAR(H24),MONTH(H24)+R41+R42+R43+R44,DAY(H24)),H28,DATE(YEAR(H24),MONTH(H24)+R41+R42+R43+R44,DAY(H24)))</f>
        <v>0</v>
      </c>
    </row>
    <row r="46" spans="1:19" s="16" customFormat="1" ht="14.25" customHeight="1" thickBot="1" x14ac:dyDescent="0.25">
      <c r="A46" s="150" t="s">
        <v>110</v>
      </c>
      <c r="B46" s="151">
        <f>$B$29</f>
        <v>0</v>
      </c>
      <c r="C46" s="152">
        <f t="shared" si="4"/>
        <v>0</v>
      </c>
      <c r="D46" s="135">
        <f t="shared" si="1"/>
        <v>0</v>
      </c>
      <c r="E46" s="135">
        <f t="shared" si="5"/>
        <v>0</v>
      </c>
      <c r="F46" s="257" t="str">
        <f t="shared" si="2"/>
        <v/>
      </c>
      <c r="G46" s="147">
        <f>$H$64</f>
        <v>0</v>
      </c>
      <c r="H46" s="147" t="str">
        <f>IF($E$30=0,"",ROUND((E29*H$47/$E$30),0))</f>
        <v/>
      </c>
      <c r="I46" s="147" t="str">
        <f t="shared" si="8"/>
        <v/>
      </c>
      <c r="J46" s="147" t="str">
        <f>IF($G$30=0,"",ROUND((G29*J$47/$G$30),0))</f>
        <v/>
      </c>
      <c r="K46" s="143" t="str">
        <f t="shared" si="6"/>
        <v/>
      </c>
      <c r="L46" s="144"/>
      <c r="M46" s="147">
        <f t="shared" si="7"/>
        <v>0</v>
      </c>
      <c r="N46" s="132"/>
      <c r="P46" s="70">
        <f>IF($K29=0,0,IF($K29&lt;$F64,$K29,$F$64))</f>
        <v>0</v>
      </c>
      <c r="Q46" s="70">
        <f>IF(J29=0,0,IF(J29&lt;F64,J29,F64))</f>
        <v>0</v>
      </c>
      <c r="R46" s="70">
        <f t="shared" si="3"/>
        <v>0</v>
      </c>
      <c r="S46" s="115">
        <f>IF(H29&gt;DATE(YEAR(H24),MONTH(H24)+R41+R42+R43+R44+R45,DAY(H24)),H29,DATE(YEAR(H24),MONTH(H24)+R41+R42+R43+R44+R45,DAY(H24)))</f>
        <v>0</v>
      </c>
    </row>
    <row r="47" spans="1:19" s="16" customFormat="1" ht="18" customHeight="1" thickBot="1" x14ac:dyDescent="0.25">
      <c r="A47" s="153"/>
      <c r="B47" s="154" t="s">
        <v>129</v>
      </c>
      <c r="C47" s="155">
        <f>IF(E47-(E7*0.4)&lt;100000,E47,IF((E7*0.4)&lt;E47,ROUND(E7*0.4,0),E47))</f>
        <v>0</v>
      </c>
      <c r="D47" s="155">
        <f>E47-C47</f>
        <v>0</v>
      </c>
      <c r="E47" s="155">
        <f>IF(MAX(N(90),N(92))&lt;(C30+IF(E11="oui",N(E12),0)),MIN(E$7*F$9,MAX(N(B90)+N(B92)-E40-C48,0),E15)+E40,MIN(MAX(N(H90),N(H92)),E15)+E40)</f>
        <v>0</v>
      </c>
      <c r="F47" s="258">
        <f>SUM(F40:F46)</f>
        <v>0</v>
      </c>
      <c r="G47" s="156">
        <f>SUM(G41:G46)</f>
        <v>0</v>
      </c>
      <c r="H47" s="309">
        <f>MIN(E30,SUM(H70:H84))</f>
        <v>0</v>
      </c>
      <c r="I47" s="309">
        <f>MIN(F30,SUM(I70:I72))</f>
        <v>0</v>
      </c>
      <c r="J47" s="309">
        <f>MIN(G30,SUM(J70:J84))</f>
        <v>0</v>
      </c>
      <c r="K47" s="310">
        <f>SUM(K41:K46)</f>
        <v>0</v>
      </c>
      <c r="L47" s="311">
        <f>G47+H47+I47+J47</f>
        <v>0</v>
      </c>
      <c r="M47" s="312">
        <f>SUM(M41:M46)</f>
        <v>0</v>
      </c>
      <c r="N47" s="132"/>
      <c r="P47" s="15"/>
      <c r="Q47" s="15"/>
      <c r="R47" s="15"/>
    </row>
    <row r="48" spans="1:19" s="58" customFormat="1" ht="27.75" customHeight="1" x14ac:dyDescent="0.2">
      <c r="A48" s="434" t="str">
        <f>IF(L$68=1,L$81,IF(L$68=2,L$82,IF(L$68=3,"Mesure incitative","")))</f>
        <v>Mesure incitative</v>
      </c>
      <c r="B48" s="435" t="str">
        <f>IF(L68=1,L82,IF(L68=2,L81,"Mesure incitative"))</f>
        <v>Mesure incitative</v>
      </c>
      <c r="C48" s="353">
        <f>IF(E11="Oui",MIN(MAX(K90:K92),N(E12),E$7*84%-E$40),0)</f>
        <v>0</v>
      </c>
      <c r="D48" s="157">
        <v>0</v>
      </c>
      <c r="E48" s="157">
        <f>C48+D48</f>
        <v>0</v>
      </c>
      <c r="F48" s="259">
        <f>IF(E7=0,0,C48/E7)</f>
        <v>0</v>
      </c>
      <c r="G48" s="158"/>
      <c r="H48" s="159"/>
      <c r="I48" s="159"/>
      <c r="J48" s="160" t="str">
        <f>IF(AND($A$68&gt;2,$A$68&lt;6,G47&gt;0,F30&gt;0,E7&gt;0),"DDA &amp; CMM du distributeur / Exigence seuil:","")</f>
        <v/>
      </c>
      <c r="K48" s="161" t="str">
        <f>IF(AND($A$68&gt;2,$A$68&lt;6,G47&gt;0,F30&gt;0,E7&gt;0),SUM(G47,N(H47))/SUM(N(D70),N(D71),N(D72)),"")</f>
        <v/>
      </c>
      <c r="L48" s="162"/>
      <c r="M48" s="163"/>
      <c r="N48" s="164"/>
      <c r="O48" s="59"/>
      <c r="P48" s="59"/>
      <c r="Q48" s="59"/>
      <c r="R48" s="59"/>
    </row>
    <row r="49" spans="1:14" s="58" customFormat="1" ht="18" customHeight="1" thickBot="1" x14ac:dyDescent="0.25">
      <c r="A49" s="153"/>
      <c r="B49" s="154" t="s">
        <v>130</v>
      </c>
      <c r="C49" s="155">
        <f>+C47+C48</f>
        <v>0</v>
      </c>
      <c r="D49" s="155">
        <f>+D47+D48</f>
        <v>0</v>
      </c>
      <c r="E49" s="155">
        <f>+E47+E48</f>
        <v>0</v>
      </c>
      <c r="F49" s="258">
        <f>SUM(F47:F48)</f>
        <v>0</v>
      </c>
      <c r="G49" s="158"/>
      <c r="H49" s="159"/>
      <c r="I49" s="159"/>
      <c r="J49" s="160"/>
      <c r="K49" s="165"/>
      <c r="L49" s="162"/>
      <c r="M49" s="163"/>
      <c r="N49" s="166"/>
    </row>
    <row r="50" spans="1:14" s="16" customFormat="1" ht="18" customHeight="1" x14ac:dyDescent="0.2">
      <c r="A50" s="78" t="s">
        <v>131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15"/>
    </row>
    <row r="51" spans="1:14" s="16" customFormat="1" x14ac:dyDescent="0.2"/>
    <row r="52" spans="1:14" s="16" customFormat="1" ht="15" x14ac:dyDescent="0.2">
      <c r="A52" s="78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/>
      <c r="M52" s="15"/>
    </row>
    <row r="53" spans="1:14" s="16" customFormat="1" ht="21" customHeight="1" x14ac:dyDescent="0.2">
      <c r="A53" s="25" t="s">
        <v>132</v>
      </c>
      <c r="B53" s="24"/>
      <c r="C53" s="23"/>
      <c r="D53" s="22"/>
      <c r="E53" s="22"/>
      <c r="F53" s="22"/>
      <c r="G53" s="22"/>
      <c r="H53" s="18"/>
      <c r="I53" s="18"/>
      <c r="J53" s="18"/>
      <c r="K53" s="18"/>
      <c r="L53"/>
      <c r="M53" s="15"/>
    </row>
    <row r="54" spans="1:14" s="174" customFormat="1" ht="18" customHeight="1" x14ac:dyDescent="0.2">
      <c r="A54" s="167" t="s">
        <v>105</v>
      </c>
      <c r="B54" s="168">
        <f>D24</f>
        <v>0</v>
      </c>
      <c r="C54" s="169" t="s">
        <v>38</v>
      </c>
      <c r="D54" s="170">
        <f>J24</f>
        <v>0</v>
      </c>
      <c r="E54" s="169" t="s">
        <v>39</v>
      </c>
      <c r="F54" s="170">
        <f>72</f>
        <v>72</v>
      </c>
      <c r="G54" s="169" t="s">
        <v>40</v>
      </c>
      <c r="H54" s="168">
        <f>IF(J24&lt;72,B54,(B54/D54)*F54)</f>
        <v>0</v>
      </c>
      <c r="I54" s="462" t="s">
        <v>133</v>
      </c>
      <c r="J54" s="463"/>
      <c r="K54" s="172">
        <f>DATE(YEAR(H24),MONTH(H24)+72,DAY(H24))</f>
        <v>2192</v>
      </c>
      <c r="L54" s="132"/>
      <c r="M54" s="173"/>
    </row>
    <row r="55" spans="1:14" s="181" customFormat="1" ht="25.5" customHeight="1" x14ac:dyDescent="0.2">
      <c r="A55" s="175"/>
      <c r="B55" s="176" t="s">
        <v>134</v>
      </c>
      <c r="C55" s="177"/>
      <c r="D55" s="177" t="s">
        <v>135</v>
      </c>
      <c r="E55" s="178"/>
      <c r="F55" s="177" t="s">
        <v>136</v>
      </c>
      <c r="G55" s="178"/>
      <c r="H55" s="176" t="s">
        <v>137</v>
      </c>
      <c r="I55" s="179"/>
      <c r="J55" s="179"/>
      <c r="K55" s="180"/>
      <c r="L55" s="132"/>
      <c r="M55" s="83"/>
    </row>
    <row r="56" spans="1:14" s="174" customFormat="1" ht="18" customHeight="1" x14ac:dyDescent="0.2">
      <c r="A56" s="167" t="s">
        <v>106</v>
      </c>
      <c r="B56" s="168">
        <f>D25</f>
        <v>0</v>
      </c>
      <c r="C56" s="169" t="s">
        <v>38</v>
      </c>
      <c r="D56" s="170">
        <f>J25</f>
        <v>0</v>
      </c>
      <c r="E56" s="169" t="s">
        <v>39</v>
      </c>
      <c r="F56" s="182">
        <f>IF((YEAR(K54)-YEAR(S42))*12+MONTH(K54)-MONTH(S42)&lt;0,0,(YEAR(K54)-YEAR(S42))*12+MONTH(K54)-MONTH(S42))</f>
        <v>71</v>
      </c>
      <c r="G56" s="169" t="s">
        <v>40</v>
      </c>
      <c r="H56" s="168">
        <f>IF(D25=0,0,IF(D56&lt;F56,B56,(B56/D56)*F56))</f>
        <v>0</v>
      </c>
      <c r="I56" s="179"/>
      <c r="J56" s="179"/>
      <c r="K56" s="183"/>
      <c r="L56" s="132"/>
      <c r="M56" s="173"/>
    </row>
    <row r="57" spans="1:14" s="181" customFormat="1" ht="25.5" customHeight="1" x14ac:dyDescent="0.2">
      <c r="A57" s="184"/>
      <c r="B57" s="176" t="s">
        <v>134</v>
      </c>
      <c r="C57" s="179"/>
      <c r="D57" s="177" t="s">
        <v>135</v>
      </c>
      <c r="E57" s="179"/>
      <c r="F57" s="177" t="s">
        <v>136</v>
      </c>
      <c r="G57" s="178"/>
      <c r="H57" s="176" t="s">
        <v>137</v>
      </c>
      <c r="I57" s="179"/>
      <c r="J57" s="179"/>
      <c r="K57" s="183"/>
      <c r="L57" s="132"/>
      <c r="M57" s="83"/>
    </row>
    <row r="58" spans="1:14" s="174" customFormat="1" ht="18" customHeight="1" x14ac:dyDescent="0.2">
      <c r="A58" s="167" t="s">
        <v>107</v>
      </c>
      <c r="B58" s="168">
        <f>D26</f>
        <v>0</v>
      </c>
      <c r="C58" s="169" t="s">
        <v>38</v>
      </c>
      <c r="D58" s="170">
        <f>J26</f>
        <v>0</v>
      </c>
      <c r="E58" s="169" t="s">
        <v>39</v>
      </c>
      <c r="F58" s="182">
        <f>IF((YEAR(K54)-YEAR(S43))*12+MONTH(K54)-MONTH(S43)&lt;0,0,(YEAR(K54)-YEAR(S43))*12+MONTH(K54)-MONTH(S43))</f>
        <v>71</v>
      </c>
      <c r="G58" s="169" t="s">
        <v>40</v>
      </c>
      <c r="H58" s="168">
        <f>IF(D26=0,0,IF(D58&lt;F58,B58,(B58/D58)*F58))</f>
        <v>0</v>
      </c>
      <c r="I58" s="179"/>
      <c r="J58" s="179"/>
      <c r="K58" s="183"/>
      <c r="L58" s="132"/>
      <c r="M58" s="173"/>
    </row>
    <row r="59" spans="1:14" s="181" customFormat="1" ht="25.5" customHeight="1" x14ac:dyDescent="0.2">
      <c r="A59" s="185"/>
      <c r="B59" s="176" t="s">
        <v>134</v>
      </c>
      <c r="C59" s="179"/>
      <c r="D59" s="177" t="s">
        <v>135</v>
      </c>
      <c r="E59" s="179"/>
      <c r="F59" s="177" t="s">
        <v>136</v>
      </c>
      <c r="G59" s="178"/>
      <c r="H59" s="176" t="s">
        <v>137</v>
      </c>
      <c r="I59" s="179"/>
      <c r="J59" s="179"/>
      <c r="K59" s="183"/>
      <c r="L59" s="132"/>
      <c r="M59" s="83"/>
    </row>
    <row r="60" spans="1:14" s="174" customFormat="1" ht="18" customHeight="1" x14ac:dyDescent="0.2">
      <c r="A60" s="167" t="s">
        <v>108</v>
      </c>
      <c r="B60" s="168">
        <f>D27</f>
        <v>0</v>
      </c>
      <c r="C60" s="169" t="s">
        <v>38</v>
      </c>
      <c r="D60" s="182">
        <f>J27</f>
        <v>0</v>
      </c>
      <c r="E60" s="169" t="s">
        <v>39</v>
      </c>
      <c r="F60" s="182">
        <f>IF((YEAR(K54)-YEAR(S44))*12+MONTH(K54)-MONTH(S44)&lt;0,0,(YEAR(K54)-YEAR(S44))*12+MONTH(K54)-MONTH(S44))</f>
        <v>71</v>
      </c>
      <c r="G60" s="169" t="s">
        <v>40</v>
      </c>
      <c r="H60" s="168">
        <f>IF(D27=0,0,IF(D60&lt;F60,B60,(B60/D60)*F60))</f>
        <v>0</v>
      </c>
      <c r="I60" s="179"/>
      <c r="J60" s="179"/>
      <c r="K60" s="183"/>
      <c r="L60" s="132"/>
      <c r="M60" s="173"/>
    </row>
    <row r="61" spans="1:14" s="181" customFormat="1" ht="30.6" customHeight="1" x14ac:dyDescent="0.2">
      <c r="A61" s="175"/>
      <c r="B61" s="176" t="s">
        <v>134</v>
      </c>
      <c r="C61" s="179"/>
      <c r="D61" s="177" t="s">
        <v>135</v>
      </c>
      <c r="E61" s="179"/>
      <c r="F61" s="177" t="s">
        <v>136</v>
      </c>
      <c r="G61" s="178"/>
      <c r="H61" s="176" t="s">
        <v>137</v>
      </c>
      <c r="I61" s="179"/>
      <c r="J61" s="179"/>
      <c r="K61" s="183"/>
      <c r="L61" s="132"/>
      <c r="M61" s="83"/>
    </row>
    <row r="62" spans="1:14" s="174" customFormat="1" ht="18" customHeight="1" x14ac:dyDescent="0.2">
      <c r="A62" s="167" t="s">
        <v>109</v>
      </c>
      <c r="B62" s="168">
        <f>D28</f>
        <v>0</v>
      </c>
      <c r="C62" s="169" t="s">
        <v>38</v>
      </c>
      <c r="D62" s="182">
        <f>J28</f>
        <v>0</v>
      </c>
      <c r="E62" s="169" t="s">
        <v>39</v>
      </c>
      <c r="F62" s="182">
        <f>IF((YEAR(K54)-YEAR(S45))*12+MONTH(K54)-MONTH(S45)&lt;0,0,(YEAR(K54)-YEAR(S45))*12+MONTH(K54)-MONTH(S45))</f>
        <v>71</v>
      </c>
      <c r="G62" s="169" t="s">
        <v>40</v>
      </c>
      <c r="H62" s="168">
        <f>IF(D28=0,0,IF(D62&lt;F62,B62,(B62/D62)*F62))</f>
        <v>0</v>
      </c>
      <c r="I62" s="179"/>
      <c r="J62" s="179"/>
      <c r="K62" s="183"/>
      <c r="L62" s="132"/>
      <c r="M62" s="173"/>
    </row>
    <row r="63" spans="1:14" s="181" customFormat="1" ht="26.45" customHeight="1" x14ac:dyDescent="0.2">
      <c r="A63" s="184"/>
      <c r="B63" s="176" t="s">
        <v>134</v>
      </c>
      <c r="C63" s="179"/>
      <c r="D63" s="177" t="s">
        <v>135</v>
      </c>
      <c r="E63" s="179"/>
      <c r="F63" s="177" t="s">
        <v>136</v>
      </c>
      <c r="G63" s="178"/>
      <c r="H63" s="176" t="s">
        <v>137</v>
      </c>
      <c r="I63" s="179"/>
      <c r="J63" s="179"/>
      <c r="K63" s="183"/>
      <c r="L63" s="132"/>
      <c r="M63" s="83"/>
    </row>
    <row r="64" spans="1:14" s="174" customFormat="1" ht="18" customHeight="1" x14ac:dyDescent="0.2">
      <c r="A64" s="167" t="s">
        <v>110</v>
      </c>
      <c r="B64" s="168">
        <f>D29</f>
        <v>0</v>
      </c>
      <c r="C64" s="169" t="s">
        <v>38</v>
      </c>
      <c r="D64" s="182">
        <f>J29</f>
        <v>0</v>
      </c>
      <c r="E64" s="169" t="s">
        <v>39</v>
      </c>
      <c r="F64" s="182">
        <f>IF((YEAR(K54)-YEAR(S46))*12+MONTH(K54)-MONTH(S46)&lt;0,0,(YEAR(K54)-YEAR(S46))*12+MONTH(K54)-MONTH(S46))</f>
        <v>71</v>
      </c>
      <c r="G64" s="169" t="s">
        <v>40</v>
      </c>
      <c r="H64" s="168">
        <f>IF(D29=0,0,IF(D64&lt;F64,B64,(B64/D64)*F64))</f>
        <v>0</v>
      </c>
      <c r="I64" s="179"/>
      <c r="J64" s="179"/>
      <c r="K64" s="183"/>
      <c r="L64" s="132"/>
      <c r="M64" s="173"/>
    </row>
    <row r="65" spans="1:12" s="181" customFormat="1" ht="26.45" customHeight="1" x14ac:dyDescent="0.2">
      <c r="A65" s="186"/>
      <c r="B65" s="187" t="s">
        <v>134</v>
      </c>
      <c r="C65" s="188"/>
      <c r="D65" s="189" t="s">
        <v>135</v>
      </c>
      <c r="E65" s="188"/>
      <c r="F65" s="189" t="s">
        <v>136</v>
      </c>
      <c r="G65" s="171"/>
      <c r="H65" s="187" t="s">
        <v>137</v>
      </c>
      <c r="I65" s="190"/>
      <c r="J65" s="190"/>
      <c r="K65" s="191"/>
      <c r="L65" s="132"/>
    </row>
    <row r="66" spans="1:12" s="181" customFormat="1" ht="33" customHeight="1" x14ac:dyDescent="0.2">
      <c r="A66" s="192"/>
      <c r="B66" s="193"/>
      <c r="C66" s="192"/>
      <c r="D66" s="192"/>
      <c r="E66" s="194"/>
      <c r="F66" s="194"/>
      <c r="G66" s="192"/>
      <c r="H66" s="194"/>
      <c r="I66" s="194"/>
      <c r="J66" s="193"/>
      <c r="K66" s="195"/>
      <c r="L66" s="132"/>
    </row>
    <row r="67" spans="1:12" s="181" customFormat="1" ht="22.5" customHeight="1" x14ac:dyDescent="0.2">
      <c r="A67" s="196" t="s">
        <v>138</v>
      </c>
      <c r="B67" s="197"/>
      <c r="C67" s="198"/>
      <c r="D67" s="267"/>
      <c r="E67" s="267"/>
      <c r="F67" s="267"/>
      <c r="G67" s="267"/>
      <c r="H67" s="439" t="s">
        <v>139</v>
      </c>
      <c r="I67" s="439"/>
      <c r="J67" s="439"/>
      <c r="K67" s="267"/>
      <c r="L67" s="267"/>
    </row>
    <row r="68" spans="1:12" s="181" customFormat="1" ht="57.75" customHeight="1" x14ac:dyDescent="0.2">
      <c r="A68" s="271">
        <v>18</v>
      </c>
      <c r="B68" s="199" t="s">
        <v>140</v>
      </c>
      <c r="C68" s="200" t="s">
        <v>141</v>
      </c>
      <c r="D68" s="200" t="s">
        <v>142</v>
      </c>
      <c r="E68" s="467" t="s">
        <v>143</v>
      </c>
      <c r="F68" s="467"/>
      <c r="G68" s="269" t="s">
        <v>144</v>
      </c>
      <c r="H68" s="338" t="s">
        <v>237</v>
      </c>
      <c r="I68" s="338" t="s">
        <v>238</v>
      </c>
      <c r="J68" s="268" t="s">
        <v>239</v>
      </c>
      <c r="K68" s="272"/>
      <c r="L68" s="273">
        <v>3</v>
      </c>
    </row>
    <row r="69" spans="1:12" s="181" customFormat="1" ht="24.95" customHeight="1" x14ac:dyDescent="0.2">
      <c r="A69" s="123"/>
      <c r="B69" s="201" t="s">
        <v>145</v>
      </c>
      <c r="C69" s="202"/>
      <c r="D69" s="203"/>
      <c r="E69" s="204"/>
      <c r="F69" s="205"/>
      <c r="G69" s="204"/>
      <c r="H69" s="204"/>
      <c r="I69" s="107"/>
      <c r="J69" s="374" t="str">
        <f>IFERROR(_xlfn.CONCAT(M70:M72,M74:M75,M77,M79:M85,M87),"")</f>
        <v/>
      </c>
      <c r="K69" s="272"/>
      <c r="L69" s="272"/>
    </row>
    <row r="70" spans="1:12" s="181" customFormat="1" ht="38.25" customHeight="1" x14ac:dyDescent="0.2">
      <c r="A70" s="124"/>
      <c r="B70" s="206" t="s">
        <v>146</v>
      </c>
      <c r="C70" s="207">
        <v>0.1</v>
      </c>
      <c r="D70" s="208" t="str">
        <f>IF(A$68=3,ROUND(10%*$E$7,0),"S/O")</f>
        <v>S/O</v>
      </c>
      <c r="E70" s="209" t="str">
        <f>IF(D70="S/O","S/O",
IF(G$47&gt;=D70,"Oui",
IF(G$47+MIN(E$30,MAX(D70-G$47,0))&gt;=D70,"Oui",
IF(AND(G$47+MIN(E$30,MAX(D70-G$47,0))&gt;=75%*D70,
G$47+MIN(E$30+F$30+G$30,MAX(D70-G$47,0))&gt;=D70),"Oui",
IF(AND(G$47+MIN(E$30,MAX(D70-G$47,0))&gt;=51%*D70,
G$47+MIN(E$30+G$30,MAX(D70-G$47,0))&gt;=D70),"Oui","Non")))))</f>
        <v>S/O</v>
      </c>
      <c r="F70" s="210"/>
      <c r="G70" s="211" t="str">
        <f>IF(E70="S/O","S/O",G$47+MIN(H$47,E$30)+MIN(I$47,F$30)+MIN(J$47,G$30)-D70)</f>
        <v>S/O</v>
      </c>
      <c r="H70" s="212" t="str">
        <f>IF(E70="S/O","S/O",
IF(AND(E$30&gt;0,G$47&gt;0),MAX(D70-G$47,0),0))</f>
        <v>S/O</v>
      </c>
      <c r="I70" s="212" t="str">
        <f>IF(E70="S/O","S/O",
IF(AND($A$68=3,F$30&gt;0,G$47+H$47&gt;=75%*D70),MAX(ROUND(D70-G$47-H$47,0),0),0))</f>
        <v>S/O</v>
      </c>
      <c r="J70" s="212" t="str">
        <f>IF(E70="S/O","S/O",
IF(AND($A$68=3,G$30&gt;0,G$47+H$47&gt;=51%*D70),MAX(ROUND(D70-G$47-H$47-I$47,0),0),0))</f>
        <v>S/O</v>
      </c>
      <c r="K70" s="272"/>
      <c r="L70" s="272"/>
    </row>
    <row r="71" spans="1:12" s="181" customFormat="1" ht="45" customHeight="1" x14ac:dyDescent="0.2">
      <c r="A71" s="124"/>
      <c r="B71" s="213" t="s">
        <v>147</v>
      </c>
      <c r="C71" s="207">
        <v>0.1</v>
      </c>
      <c r="D71" s="208" t="str">
        <f>IF(A$68=4,ROUND(10%*$E$7,0),"S/O")</f>
        <v>S/O</v>
      </c>
      <c r="E71" s="209" t="str">
        <f t="shared" ref="E71:E72" si="9">IF(D71="S/O","S/O",
IF(G$47&gt;=D71,"Oui",
IF(G$47+MIN(E$30,MAX(D71-G$47,0))&gt;=D71,"Oui",
IF(AND(G$47+MIN(E$30,MAX(D71-G$47,0))&gt;=75%*D71,
G$47+MIN(E$30+F$30+G$30,MAX(D71-G$47,0))&gt;=D71),"Oui",
IF(AND(G$47+MIN(E$30,MAX(D71-G$47,0))&gt;=51%*D71,
G$47+MIN(E$30+G$30,MAX(D71-G$47,0))&gt;=D71),"Oui","Non")))))</f>
        <v>S/O</v>
      </c>
      <c r="F71" s="210"/>
      <c r="G71" s="211" t="str">
        <f>IF(E71="S/O","S/O",G$47+MIN(H$47,E$30)+MIN(I$47,F$30)+MIN(J$47,G$30)-D71)</f>
        <v>S/O</v>
      </c>
      <c r="H71" s="212" t="str">
        <f>IF(E71="S/O","S/O",
IF(AND(E$30&gt;0,G$47&gt;0),MAX(D71-G$47,0),0))</f>
        <v>S/O</v>
      </c>
      <c r="I71" s="212" t="str">
        <f>IF(E71="S/O","S/O",
IF(AND($A$68=4,F$30&gt;0,G$47+H$47&gt;=75%*D71),MAX(ROUND(D71-G$47-H$47,0),0),0))</f>
        <v>S/O</v>
      </c>
      <c r="J71" s="212" t="str">
        <f>IF(E71="S/O","S/O",
IF(AND($A$68=4,G$30&gt;0,G$47+H$47&gt;=51%*D71),MAX(ROUND(D71-G$47-H$47-I$47,0),0),0))</f>
        <v>S/O</v>
      </c>
      <c r="K71" s="272"/>
      <c r="L71" s="274"/>
    </row>
    <row r="72" spans="1:12" s="181" customFormat="1" ht="38.25" customHeight="1" x14ac:dyDescent="0.2">
      <c r="A72" s="125"/>
      <c r="B72" s="206" t="s">
        <v>148</v>
      </c>
      <c r="C72" s="207" t="s">
        <v>149</v>
      </c>
      <c r="D72" s="208" t="str">
        <f>IF(A$68=5,MIN(ROUND(5%*E$7,0),120000),"S/O")</f>
        <v>S/O</v>
      </c>
      <c r="E72" s="209" t="str">
        <f t="shared" si="9"/>
        <v>S/O</v>
      </c>
      <c r="F72" s="210"/>
      <c r="G72" s="211" t="str">
        <f>IF(E72="S/O","S/O",G$47+MIN(H$47,E$30)+MIN(I$47,F$30)+MIN(J$47,G$30)-D72)</f>
        <v>S/O</v>
      </c>
      <c r="H72" s="212" t="str">
        <f>IF(E72="S/O","S/O",
IF(AND(E$30&gt;0,G$47&gt;0),MAX(D72-G$47,0),0))</f>
        <v>S/O</v>
      </c>
      <c r="I72" s="212" t="str">
        <f>IF(E72="S/O","S/O",
IF(AND($A$68=5,F$30&gt;0,G$47+H$47&gt;=75%*D72),MAX(ROUND(D72-G$47-H$47,0),0),0))</f>
        <v>S/O</v>
      </c>
      <c r="J72" s="212" t="str">
        <f>IF(E72="S/O","S/O",
IF(AND($A$68=5,G$30&gt;0,G$47+H$47&gt;=51%*D72),MAX(ROUND(D72-G$47-H$47-I$47,0),0),0))</f>
        <v>S/O</v>
      </c>
      <c r="K72" s="272"/>
      <c r="L72" s="274"/>
    </row>
    <row r="73" spans="1:12" s="181" customFormat="1" ht="24.95" customHeight="1" x14ac:dyDescent="0.2">
      <c r="A73" s="125"/>
      <c r="B73" s="201" t="s">
        <v>150</v>
      </c>
      <c r="C73" s="202"/>
      <c r="D73" s="203"/>
      <c r="E73" s="214"/>
      <c r="F73" s="205"/>
      <c r="G73" s="204"/>
      <c r="H73" s="204"/>
      <c r="I73" s="107"/>
      <c r="J73" s="215"/>
      <c r="K73" s="272"/>
      <c r="L73" s="274"/>
    </row>
    <row r="74" spans="1:12" s="181" customFormat="1" ht="45" customHeight="1" x14ac:dyDescent="0.2">
      <c r="A74" s="125"/>
      <c r="B74" s="206" t="s">
        <v>151</v>
      </c>
      <c r="C74" s="216">
        <v>0.1</v>
      </c>
      <c r="D74" s="217" t="str">
        <f>IF($A$68=7,ROUND(10%*$E$7,0),"S/O")</f>
        <v>S/O</v>
      </c>
      <c r="E74" s="209" t="str">
        <f>IF(D74="S/O","S/O",
IF(G$47&gt;=D74,"Oui",
IF(G$47+MIN(E$30,MAX(D74-G$47,0))&gt;=D74,"Oui",
IF(AND(G$47+MIN(E$30,MAX(D74-G$47,0))&gt;=51%*D74,
G$47+MIN(E$30+G$30,MAX(D74-G$47,0))&gt;=D74),"Oui","Non"))))</f>
        <v>S/O</v>
      </c>
      <c r="F74" s="210"/>
      <c r="G74" s="211" t="str">
        <f>IF(E74="S/O","S/O",G$47+MIN(H$47,E$30)+MIN(I$47,F$30)+MIN(J$47,G$30)-D74)</f>
        <v>S/O</v>
      </c>
      <c r="H74" s="212" t="str">
        <f>IF(E74="S/O","S/O",
IF(AND(E$30&gt;0,G$47&gt;0),MAX(D74-G$47,0),0))</f>
        <v>S/O</v>
      </c>
      <c r="I74" s="108"/>
      <c r="J74" s="212" t="str">
        <f>IF(E74="S/O","S/O",
IF(AND($A$68=7,G$30&gt;0,G$47+H$47&gt;=51%*D74),MAX(ROUND(D74-G$47-H$47-I$47,0),0),0))</f>
        <v>S/O</v>
      </c>
      <c r="K74" s="272"/>
      <c r="L74" s="274"/>
    </row>
    <row r="75" spans="1:12" s="181" customFormat="1" ht="45" customHeight="1" x14ac:dyDescent="0.2">
      <c r="A75" s="125"/>
      <c r="B75" s="206" t="s">
        <v>152</v>
      </c>
      <c r="C75" s="216" t="s">
        <v>153</v>
      </c>
      <c r="D75" s="218" t="str">
        <f>IF(A$68=8,MIN(ROUND(10%*E$7,0),ROUND(60000*L$7,0)),"S/O")</f>
        <v>S/O</v>
      </c>
      <c r="E75" s="209" t="str">
        <f t="shared" ref="E75:E84" si="10">IF(D75="S/O","S/O",
IF(G$47&gt;=D75,"Oui",
IF(G$47+MIN(E$30,MAX(D75-G$47,0))&gt;=D75,"Oui",
IF(AND(G$47+MIN(E$30,MAX(D75-G$47,0))&gt;=51%*D75,
G$47+MIN(E$30+G$30,MAX(D75-G$47,0))&gt;=D75),"Oui","Non"))))</f>
        <v>S/O</v>
      </c>
      <c r="F75" s="210"/>
      <c r="G75" s="211" t="str">
        <f>IF(E75="S/O","S/O",G$47+MIN(H$47,E$30)+MIN(I$47,F$30)+MIN(J$47,G$30)-D75)</f>
        <v>S/O</v>
      </c>
      <c r="H75" s="212" t="str">
        <f>IF(E75="S/O","S/O",
IF(AND(E$30&gt;0,G$47&gt;0),MAX(D75-G$47,0),0))</f>
        <v>S/O</v>
      </c>
      <c r="I75" s="107"/>
      <c r="J75" s="212" t="str">
        <f>IF(E75="S/O","S/O",
IF(AND($A$68=8,G$30&gt;0,G$47+H$47&gt;=51%*D75),MAX(ROUND(D75-G$47-H$47-I$47,0),0),0))</f>
        <v>S/O</v>
      </c>
      <c r="K75" s="272"/>
      <c r="L75" s="274"/>
    </row>
    <row r="76" spans="1:12" s="181" customFormat="1" ht="46.5" customHeight="1" x14ac:dyDescent="0.2">
      <c r="A76" s="125"/>
      <c r="B76" s="206" t="s">
        <v>154</v>
      </c>
      <c r="C76" s="219" t="s">
        <v>155</v>
      </c>
      <c r="D76" s="217" t="str">
        <f>IF(A$68=9,MIN(ROUND(10%*E$7,0),60000),"S/O")</f>
        <v>S/O</v>
      </c>
      <c r="E76" s="209" t="str">
        <f t="shared" si="10"/>
        <v>S/O</v>
      </c>
      <c r="F76" s="210"/>
      <c r="G76" s="211" t="str">
        <f>IF(E76="S/O","S/O",G$47+MIN(H$47,E$30)+MIN(I$47,F$30)+MIN(J$47,G$30)-D76)</f>
        <v>S/O</v>
      </c>
      <c r="H76" s="212" t="str">
        <f>IF(E76="S/O","S/O",
IF(AND(E$30&gt;0,G$47&gt;0),MAX(D76-G$47,0),0))</f>
        <v>S/O</v>
      </c>
      <c r="I76" s="109"/>
      <c r="J76" s="212" t="str">
        <f>IF(E76="S/O","S/O",
IF(AND($A$68=9,G$30&gt;0,G$47+H$47&gt;=51%*D76),MAX(ROUND(D76-G$47-H$47-I$47,0),0),0))</f>
        <v>S/O</v>
      </c>
      <c r="K76" s="272"/>
      <c r="L76" s="274"/>
    </row>
    <row r="77" spans="1:12" s="181" customFormat="1" ht="24.95" customHeight="1" x14ac:dyDescent="0.2">
      <c r="A77" s="125"/>
      <c r="B77" s="220" t="s">
        <v>156</v>
      </c>
      <c r="C77" s="221"/>
      <c r="D77" s="202"/>
      <c r="E77" s="222"/>
      <c r="F77" s="204"/>
      <c r="G77" s="205"/>
      <c r="H77" s="205"/>
      <c r="I77" s="106"/>
      <c r="J77" s="223"/>
      <c r="K77" s="272"/>
      <c r="L77" s="274"/>
    </row>
    <row r="78" spans="1:12" s="181" customFormat="1" ht="30" customHeight="1" x14ac:dyDescent="0.2">
      <c r="A78" s="125"/>
      <c r="B78" s="206" t="s">
        <v>157</v>
      </c>
      <c r="C78" s="216">
        <v>0.1</v>
      </c>
      <c r="D78" s="217" t="str">
        <f>IF(A$68=11,ROUND(10%*$E$7,0),"S/O")</f>
        <v>S/O</v>
      </c>
      <c r="E78" s="209" t="str">
        <f t="shared" si="10"/>
        <v>S/O</v>
      </c>
      <c r="F78" s="210"/>
      <c r="G78" s="211" t="str">
        <f>IF(E78="S/O","S/O",G$47+MIN(H$47,E$30)+MIN(I$47,F$30)+MIN(J$47,G$30)-D78)</f>
        <v>S/O</v>
      </c>
      <c r="H78" s="212" t="str">
        <f>IF(E78="S/O","S/O",
IF(AND(E$30&gt;0,G$47&gt;0),MAX(D78-G$47,0),0))</f>
        <v>S/O</v>
      </c>
      <c r="I78" s="111"/>
      <c r="J78" s="212" t="str">
        <f>IF(E78="S/O","S/O",
IF(AND($A$68=11,G$30&gt;0,G$47+H$47&gt;=51%*D78),MAX(ROUND(D78-G$47-H$47-I$47,0),0),0))</f>
        <v>S/O</v>
      </c>
      <c r="K78" s="272"/>
      <c r="L78" s="275" t="s">
        <v>87</v>
      </c>
    </row>
    <row r="79" spans="1:12" s="181" customFormat="1" ht="24.95" customHeight="1" x14ac:dyDescent="0.2">
      <c r="A79" s="125"/>
      <c r="B79" s="220" t="s">
        <v>158</v>
      </c>
      <c r="C79" s="221"/>
      <c r="D79" s="202"/>
      <c r="E79" s="222"/>
      <c r="F79" s="204"/>
      <c r="G79" s="205"/>
      <c r="H79" s="205"/>
      <c r="I79" s="107"/>
      <c r="J79" s="223"/>
      <c r="K79" s="272"/>
      <c r="L79" s="274" t="s">
        <v>85</v>
      </c>
    </row>
    <row r="80" spans="1:12" s="181" customFormat="1" ht="36.75" customHeight="1" x14ac:dyDescent="0.2">
      <c r="A80" s="125"/>
      <c r="B80" s="206" t="s">
        <v>209</v>
      </c>
      <c r="C80" s="216">
        <v>0.1</v>
      </c>
      <c r="D80" s="217" t="str">
        <f>IF($A$68=13,ROUND(10%*$E$7,0),"S/O")</f>
        <v>S/O</v>
      </c>
      <c r="E80" s="209" t="str">
        <f t="shared" si="10"/>
        <v>S/O</v>
      </c>
      <c r="F80" s="210"/>
      <c r="G80" s="211" t="str">
        <f>IF(E80="S/O","S/O",G$47+MIN(H$47,E$30)+MIN(I$47,F$30)+MIN(J$47,G$30)-D80)</f>
        <v>S/O</v>
      </c>
      <c r="H80" s="212" t="str">
        <f>IF(E80="S/O","S/O",
IF(AND(E$30&gt;0,G$47&gt;0),MAX(D80-G$47,0),0))</f>
        <v>S/O</v>
      </c>
      <c r="I80" s="224"/>
      <c r="J80" s="212" t="str">
        <f>IF(E80="S/O","S/O",
IF(AND($A$68=13,G$30&gt;0,G$47+H$47&gt;=51%*D80),MAX(ROUND(D80-G$47-H$47-I$47,0),0),0))</f>
        <v>S/O</v>
      </c>
      <c r="K80" s="272"/>
      <c r="L80" s="272"/>
    </row>
    <row r="81" spans="1:43" s="181" customFormat="1" ht="45" customHeight="1" x14ac:dyDescent="0.2">
      <c r="A81" s="125"/>
      <c r="B81" s="206" t="s">
        <v>159</v>
      </c>
      <c r="C81" s="216" t="s">
        <v>160</v>
      </c>
      <c r="D81" s="218" t="str">
        <f>IF(A$68=14,MIN(ROUND(10%*E$7,0),ROUND(195000*L$7,0)),"S/O")</f>
        <v>S/O</v>
      </c>
      <c r="E81" s="209" t="str">
        <f t="shared" si="10"/>
        <v>S/O</v>
      </c>
      <c r="F81" s="210"/>
      <c r="G81" s="211" t="str">
        <f>IF(E81="S/O","S/O",G$47+MIN(H$47,E$30)+MIN(I$47,F$30)+MIN(J$47,G$30)-D81)</f>
        <v>S/O</v>
      </c>
      <c r="H81" s="212" t="str">
        <f>IF(E81="S/O","S/O",
IF(AND(E$30&gt;0,G$47&gt;0),MAX(D81-G$47,0),0))</f>
        <v>S/O</v>
      </c>
      <c r="I81" s="106"/>
      <c r="J81" s="212" t="str">
        <f>IF(E81="S/O","S/O",
IF(AND($A$68=14,G$30&gt;0,G$47+H$47&gt;=51%*D81),MAX(ROUND(D81-G$47-H$47-I$47,0),0),0))</f>
        <v>S/O</v>
      </c>
      <c r="K81" s="272"/>
      <c r="L81" s="276" t="s">
        <v>164</v>
      </c>
    </row>
    <row r="82" spans="1:43" s="181" customFormat="1" ht="37.5" customHeight="1" x14ac:dyDescent="0.2">
      <c r="A82" s="125"/>
      <c r="B82" s="206" t="s">
        <v>162</v>
      </c>
      <c r="C82" s="219" t="s">
        <v>163</v>
      </c>
      <c r="D82" s="217" t="str">
        <f>IF(A$68=15,MIN(ROUND(10%*E$7,0),150000),"S/O")</f>
        <v>S/O</v>
      </c>
      <c r="E82" s="209" t="str">
        <f t="shared" si="10"/>
        <v>S/O</v>
      </c>
      <c r="F82" s="210"/>
      <c r="G82" s="211" t="str">
        <f>IF(E82="S/O","S/O",G$47+MIN(H$47,E$30)+MIN(I$47,F$30)+MIN(J$47,G$30)-D82)</f>
        <v>S/O</v>
      </c>
      <c r="H82" s="212" t="str">
        <f>IF(E82="S/O","S/O",
IF(AND(E$30&gt;0,G$47&gt;0),MAX(D82-G$47,0),0))</f>
        <v>S/O</v>
      </c>
      <c r="I82" s="110"/>
      <c r="J82" s="212" t="str">
        <f>IF(E82="S/O","S/O",
IF(AND($A$68=15,G$30&gt;0,G$47+H$47&gt;=51%*D82),MAX(ROUND(D82-G$47-H$47-I$47,0),0),0))</f>
        <v>S/O</v>
      </c>
      <c r="K82" s="272"/>
      <c r="L82" s="276" t="s">
        <v>161</v>
      </c>
    </row>
    <row r="83" spans="1:43" s="181" customFormat="1" ht="24.95" customHeight="1" x14ac:dyDescent="0.2">
      <c r="A83" s="125"/>
      <c r="B83" s="220" t="s">
        <v>165</v>
      </c>
      <c r="C83" s="221"/>
      <c r="D83" s="202"/>
      <c r="E83" s="222"/>
      <c r="F83" s="204"/>
      <c r="G83" s="205"/>
      <c r="H83" s="205"/>
      <c r="I83" s="106"/>
      <c r="J83" s="223"/>
      <c r="K83" s="272"/>
      <c r="L83" s="277"/>
    </row>
    <row r="84" spans="1:43" s="181" customFormat="1" ht="45" customHeight="1" x14ac:dyDescent="0.2">
      <c r="A84" s="125"/>
      <c r="B84" s="206" t="s">
        <v>166</v>
      </c>
      <c r="C84" s="216">
        <v>0.1</v>
      </c>
      <c r="D84" s="217" t="str">
        <f>IF($A$68=17,ROUND(10%*$E$7,0),"S/O")</f>
        <v>S/O</v>
      </c>
      <c r="E84" s="209" t="str">
        <f t="shared" si="10"/>
        <v>S/O</v>
      </c>
      <c r="F84" s="210"/>
      <c r="G84" s="211" t="str">
        <f>IF(E84="S/O","S/O",G$47+MIN(H$47,E$30)+MIN(I$47,F$30)+MIN(J$47,G$30)-D84)</f>
        <v>S/O</v>
      </c>
      <c r="H84" s="212" t="str">
        <f>IF(E84="S/O","S/O",
IF(AND(E$30&gt;0,G$47&gt;0),MAX(D84-G$47,0),0))</f>
        <v>S/O</v>
      </c>
      <c r="I84" s="111"/>
      <c r="J84" s="212" t="str">
        <f>IF(E84="S/O","S/O",
IF(AND($A$68=17,G$30&gt;0,G$47+H$47&gt;=51%*D84),MAX(ROUND(D84-G$47-H$47-I$47,0),0),0))</f>
        <v>S/O</v>
      </c>
      <c r="K84" s="272"/>
      <c r="L84" s="274"/>
    </row>
    <row r="85" spans="1:43" s="132" customFormat="1" ht="15" x14ac:dyDescent="0.2">
      <c r="M85" s="181"/>
    </row>
    <row r="86" spans="1:43" s="132" customFormat="1" ht="24.95" customHeight="1" x14ac:dyDescent="0.2">
      <c r="A86" s="481" t="s">
        <v>167</v>
      </c>
      <c r="B86" s="481"/>
    </row>
    <row r="87" spans="1:43" s="181" customFormat="1" ht="38.25" customHeight="1" x14ac:dyDescent="0.2">
      <c r="A87" s="225"/>
      <c r="B87" s="467" t="s">
        <v>168</v>
      </c>
      <c r="C87" s="467"/>
      <c r="D87" s="467"/>
      <c r="E87" s="447" t="s">
        <v>169</v>
      </c>
      <c r="F87" s="448"/>
      <c r="G87" s="449"/>
      <c r="H87" s="482" t="s">
        <v>170</v>
      </c>
      <c r="I87" s="482"/>
      <c r="J87" s="482"/>
      <c r="K87" s="428" t="str">
        <f>_xlfn.CONCAT(IF(L$68=1,L$81,IF(L$68=2,L$82,IF(L$68=3,"Mesure incitative",""))),"***")</f>
        <v>Mesure incitative***</v>
      </c>
      <c r="L87" s="428"/>
      <c r="M87" s="428"/>
    </row>
    <row r="88" spans="1:43" s="181" customFormat="1" ht="45" customHeight="1" x14ac:dyDescent="0.2">
      <c r="A88" s="167" t="s">
        <v>140</v>
      </c>
      <c r="B88" s="200" t="s">
        <v>171</v>
      </c>
      <c r="C88" s="228" t="s">
        <v>172</v>
      </c>
      <c r="D88" s="228" t="s">
        <v>173</v>
      </c>
      <c r="E88" s="229" t="s">
        <v>174</v>
      </c>
      <c r="F88" s="230" t="s">
        <v>175</v>
      </c>
      <c r="G88" s="230" t="s">
        <v>173</v>
      </c>
      <c r="H88" s="226" t="s">
        <v>176</v>
      </c>
      <c r="I88" s="231" t="s">
        <v>175</v>
      </c>
      <c r="J88" s="231" t="s">
        <v>173</v>
      </c>
      <c r="K88" s="227" t="s">
        <v>176</v>
      </c>
      <c r="L88" s="227" t="s">
        <v>175</v>
      </c>
      <c r="M88" s="227" t="s">
        <v>173</v>
      </c>
    </row>
    <row r="89" spans="1:43" s="181" customFormat="1" ht="20.100000000000001" customHeight="1" x14ac:dyDescent="0.2">
      <c r="A89" s="232" t="s">
        <v>177</v>
      </c>
      <c r="B89" s="232"/>
      <c r="C89" s="233"/>
      <c r="D89" s="233"/>
      <c r="E89" s="233"/>
      <c r="F89" s="233"/>
      <c r="G89" s="233"/>
      <c r="H89" s="233"/>
      <c r="I89" s="233"/>
      <c r="J89" s="233"/>
      <c r="K89" s="234"/>
      <c r="L89" s="235"/>
      <c r="M89" s="236"/>
    </row>
    <row r="90" spans="1:43" s="181" customFormat="1" ht="58.15" customHeight="1" x14ac:dyDescent="0.2">
      <c r="A90" s="237" t="s">
        <v>178</v>
      </c>
      <c r="B90" s="239" t="str">
        <f>IF(OR(A$68=2,A$68=3,AND(A$68&gt;5,A$68&lt;12)),IF(AND(E11&lt;&gt;"Oui",E$14&lt;&gt;"Oui"),MIN(550000,ROUND(E$7*0.6,0)),MIN((N(E90)+N(H90)+N(K90)),ROUND(E$7*0.84,0))),"S/O")</f>
        <v>S/O</v>
      </c>
      <c r="C90" s="238" t="str">
        <f>IF(OR(A$68=2,A$68=3,AND(A$68&gt;5,A$68&lt;12)),IF(OR(B90&lt;C30+C48,F90="Non",I90="Non",L90="Non"),"Non","Oui"),"S/O")</f>
        <v>S/O</v>
      </c>
      <c r="D90" s="239" t="str">
        <f>IF(C90="Non",MAX(C30+C48-B90,IF(G90="S/O",0,G90)+IF(J90="S/O",0,J90)+IF(M90="S/O",0,M90)),"S/O")</f>
        <v>S/O</v>
      </c>
      <c r="E90" s="168" t="str">
        <f>IF(OR(A$68=2,A$68=3,AND(A$68&gt;5,A$68&lt;12)),MIN(550000,ROUND(E7*0.6,0)),"S/O")</f>
        <v>S/O</v>
      </c>
      <c r="F90" s="240" t="str">
        <f>IF(OR(A$68=2,A$68=3,AND(A$68&gt;5,A$68&lt;12)),IF(E90&gt;=E16,"Oui","Non"),"S/O")</f>
        <v>S/O</v>
      </c>
      <c r="G90" s="241" t="str">
        <f>IF($F90="Non",E16-E90,"S/O")</f>
        <v>S/O</v>
      </c>
      <c r="H90" s="168" t="str">
        <f>IF(OR(A$68=2,A$68=3,AND(A$68&gt;5,A$68&lt;12)),IF(E$14="Oui",IF(MAX(84%*E$7-E90,0)&lt;E$7*F$9,ROUND(MAX(84%*E$7-E90,0),0),ROUND(E$7*F$9,0)),"S/O"),"S/O")</f>
        <v>S/O</v>
      </c>
      <c r="I90" s="241" t="str">
        <f>IF(OR(A$68=2,A$68=3,AND(A$68&gt;5,A$68&lt;12)),IF(E14="Oui",IF(H90&gt;=(E15),"Oui","Non"),"S/O"),"S/O")</f>
        <v>S/O</v>
      </c>
      <c r="J90" s="242" t="str">
        <f>IF(I90="Non",E15-H90,"S/O")</f>
        <v>S/O</v>
      </c>
      <c r="K90" s="168" t="str">
        <f>IF(OR(A$68=2,A$68=3,AND(A$68&gt;5,A$68&lt;12)),IF(E$11="Oui",IF(L$68=1,MIN(ROUND(E$7*15%,0),225000),
IF(L$68=2,MIN(ROUND(E$7*30%,0),200000),"S/O")),"S/O"),"S/O")</f>
        <v>S/O</v>
      </c>
      <c r="L90" s="243" t="str">
        <f>IF(K$90="S/O","S/O",IF(K$90&gt;=E$12,"Oui","Non"))</f>
        <v>S/O</v>
      </c>
      <c r="M90" s="244" t="str">
        <f>IF(L90="Non",E12-K90,"S/O")</f>
        <v>S/O</v>
      </c>
    </row>
    <row r="91" spans="1:43" s="181" customFormat="1" ht="20.100000000000001" customHeight="1" x14ac:dyDescent="0.2">
      <c r="A91" s="232" t="s">
        <v>179</v>
      </c>
      <c r="B91" s="232"/>
      <c r="C91" s="233"/>
      <c r="D91" s="233"/>
      <c r="E91" s="233"/>
      <c r="F91" s="233"/>
      <c r="G91" s="233"/>
      <c r="H91" s="233"/>
      <c r="I91" s="233"/>
      <c r="J91" s="233"/>
      <c r="K91" s="233"/>
      <c r="L91" s="245"/>
      <c r="M91" s="246"/>
    </row>
    <row r="92" spans="1:43" s="181" customFormat="1" ht="58.15" customHeight="1" x14ac:dyDescent="0.2">
      <c r="A92" s="247" t="s">
        <v>180</v>
      </c>
      <c r="B92" s="239" t="str">
        <f>IF(OR(A$68=4,A$68=5,AND(A$68&gt;11,A$68&lt;18)),IF(AND(E11&lt;&gt;"Oui",E$14&lt;&gt;"Oui"),MIN(550000,ROUND(E$7*60%,0)),MIN((N(E92)+N(H92)+N(K92)),ROUND(E$7*84%,0))),"S/O")</f>
        <v>S/O</v>
      </c>
      <c r="C92" s="238" t="str">
        <f>IF(OR(A$68=4,A$68=5,AND(A$68&gt;11,A$68&lt;18)),IF(OR(B92&lt;C30+C48,F92="Non",I92="Non",L92="Non"),"Non","Oui"),"S/O")</f>
        <v>S/O</v>
      </c>
      <c r="D92" s="239" t="str">
        <f>IF(C92="Non",MAX(C30+C48-B92,IF(G92="S/O",0,G92)+IF(J92="S/O",0,J92)+IF(M92="S/O",0,M92)),"S/O")</f>
        <v>S/O</v>
      </c>
      <c r="E92" s="239" t="str">
        <f>IF(OR(A$68=4,A$68=5,AND(A$68&gt;11,A$68&lt;18)),MIN(750000,ROUND(E7*0.6,0)),"S/O")</f>
        <v>S/O</v>
      </c>
      <c r="F92" s="238" t="str">
        <f>IF(OR(A$68=4,A$68=5,AND(A$68&gt;11,A$68&lt;18)),IF(E92&gt;=E16,"Oui","Non"),"S/O")</f>
        <v>S/O</v>
      </c>
      <c r="G92" s="242" t="str">
        <f>IF(F92="Non",E16-E92,"S/O")</f>
        <v>S/O</v>
      </c>
      <c r="H92" s="168" t="str">
        <f>IF(OR(A$68=4,A$68=5,AND(A$68&gt;11,A$68&lt;18)),IF(E14="Oui",IF(MAX(84%*E$7-E92,0)&lt;E$7*F$9,ROUND(MAX(84%*E$7-E92,0),0),ROUND(E$7*F$9,0)),"S/O"),"S/O")</f>
        <v>S/O</v>
      </c>
      <c r="I92" s="242" t="str">
        <f>IF(OR(A$68=4,A$68=5,AND(A$68&gt;11,A$68&lt;18)),IF(E14="Oui",IF(H92&gt;=E15,"Oui","Non"),"S/O"),"S/O")</f>
        <v>S/O</v>
      </c>
      <c r="J92" s="242" t="str">
        <f>IF(I92="Non",E15-H92,"S/O")</f>
        <v>S/O</v>
      </c>
      <c r="K92" s="243" t="str">
        <f>IF(OR(A$68=4,A$68=5,AND(A$68&gt;11,A$68&lt;18)),IF(E$11="Oui",IF(L$68=1,MIN(ROUND(E$7*15%,0),225000),
IF(L$68=2,MIN(ROUND(E$7*30%,0),200000),"S/O")),"S/O"),"S/O")</f>
        <v>S/O</v>
      </c>
      <c r="L92" s="248" t="str">
        <f>IF(K$92="S/O","S/O",IF(K$92&gt;=E$12,"Oui","Non"))</f>
        <v>S/O</v>
      </c>
      <c r="M92" s="244" t="str">
        <f>IF(L92="Non",E12-K92,"S/O")</f>
        <v>S/O</v>
      </c>
    </row>
    <row r="93" spans="1:43" s="181" customFormat="1" ht="20.100000000000001" customHeight="1" x14ac:dyDescent="0.2">
      <c r="A93" s="249"/>
      <c r="B93" s="250"/>
      <c r="C93" s="249"/>
      <c r="D93" s="249"/>
      <c r="E93" s="249"/>
      <c r="F93" s="249"/>
      <c r="G93" s="249"/>
      <c r="H93" s="249"/>
      <c r="I93" s="249"/>
      <c r="J93" s="249"/>
      <c r="K93" s="249"/>
      <c r="L93" s="251"/>
      <c r="M93" s="251"/>
    </row>
    <row r="94" spans="1:43" s="181" customFormat="1" ht="30" customHeight="1" x14ac:dyDescent="0.2">
      <c r="A94" s="252" t="s">
        <v>181</v>
      </c>
      <c r="B94" s="429" t="s">
        <v>164</v>
      </c>
      <c r="C94" s="430"/>
      <c r="D94" s="473" t="s">
        <v>182</v>
      </c>
      <c r="E94" s="471"/>
      <c r="F94" s="472"/>
      <c r="G94" s="249"/>
      <c r="H94" s="249"/>
      <c r="I94" s="249"/>
      <c r="J94" s="249"/>
      <c r="K94" s="249"/>
      <c r="L94" s="249"/>
      <c r="M94" s="249"/>
    </row>
    <row r="95" spans="1:43" s="181" customFormat="1" ht="30" customHeight="1" x14ac:dyDescent="0.2">
      <c r="A95" s="252" t="s">
        <v>181</v>
      </c>
      <c r="B95" s="429" t="s">
        <v>161</v>
      </c>
      <c r="C95" s="430"/>
      <c r="D95" s="470" t="s">
        <v>183</v>
      </c>
      <c r="E95" s="471"/>
      <c r="F95" s="472"/>
      <c r="G95" s="249"/>
      <c r="H95" s="249"/>
      <c r="I95" s="249"/>
      <c r="J95" s="249"/>
      <c r="K95" s="249"/>
      <c r="L95" s="249"/>
      <c r="M95" s="249"/>
    </row>
    <row r="96" spans="1:43" s="255" customFormat="1" x14ac:dyDescent="0.2">
      <c r="A96" s="253"/>
      <c r="B96" s="254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</row>
    <row r="97" spans="1:43" s="255" customFormat="1" x14ac:dyDescent="0.2">
      <c r="A97" s="253"/>
      <c r="B97" s="254"/>
      <c r="C97" s="253"/>
      <c r="D97" s="253"/>
      <c r="E97" s="253"/>
      <c r="F97" s="253"/>
      <c r="G97" s="253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  <c r="AK97" s="253"/>
      <c r="AL97" s="253"/>
      <c r="AM97" s="253"/>
      <c r="AN97" s="253"/>
      <c r="AO97" s="253"/>
      <c r="AP97" s="253"/>
      <c r="AQ97" s="253"/>
    </row>
    <row r="98" spans="1:43" s="255" customFormat="1" x14ac:dyDescent="0.2">
      <c r="A98" s="253"/>
      <c r="B98" s="254"/>
      <c r="C98" s="253"/>
      <c r="D98" s="253"/>
      <c r="E98" s="253"/>
      <c r="F98" s="253"/>
      <c r="G98" s="253"/>
      <c r="H98" s="253"/>
      <c r="I98" s="253"/>
      <c r="J98" s="253"/>
      <c r="K98" s="253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  <c r="AC98" s="253"/>
      <c r="AD98" s="253"/>
      <c r="AE98" s="253"/>
      <c r="AF98" s="253"/>
      <c r="AG98" s="253"/>
      <c r="AH98" s="253"/>
      <c r="AI98" s="253"/>
      <c r="AJ98" s="253"/>
      <c r="AK98" s="253"/>
      <c r="AL98" s="253"/>
      <c r="AM98" s="253"/>
      <c r="AN98" s="253"/>
      <c r="AO98" s="253"/>
      <c r="AP98" s="253"/>
      <c r="AQ98" s="253"/>
    </row>
    <row r="99" spans="1:43" s="255" customFormat="1" x14ac:dyDescent="0.2">
      <c r="A99" s="253"/>
      <c r="B99" s="254"/>
      <c r="C99" s="253"/>
      <c r="D99" s="253"/>
      <c r="E99" s="253"/>
      <c r="F99" s="253"/>
      <c r="G99" s="253"/>
      <c r="H99" s="253"/>
      <c r="I99" s="253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C99" s="253"/>
      <c r="AD99" s="253"/>
      <c r="AE99" s="253"/>
      <c r="AF99" s="253"/>
      <c r="AG99" s="253"/>
      <c r="AH99" s="253"/>
      <c r="AI99" s="253"/>
      <c r="AJ99" s="253"/>
      <c r="AK99" s="253"/>
      <c r="AL99" s="253"/>
      <c r="AM99" s="253"/>
      <c r="AN99" s="253"/>
      <c r="AO99" s="253"/>
      <c r="AP99" s="253"/>
      <c r="AQ99" s="253"/>
    </row>
    <row r="100" spans="1:43" s="255" customFormat="1" x14ac:dyDescent="0.2">
      <c r="A100" s="253"/>
      <c r="B100" s="254"/>
      <c r="C100" s="253"/>
      <c r="D100" s="253"/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</row>
    <row r="101" spans="1:43" s="255" customFormat="1" x14ac:dyDescent="0.2">
      <c r="A101" s="253"/>
      <c r="B101" s="254"/>
      <c r="C101" s="253"/>
      <c r="D101" s="253"/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</row>
    <row r="102" spans="1:43" s="255" customFormat="1" x14ac:dyDescent="0.2">
      <c r="A102" s="253"/>
      <c r="B102" s="254"/>
      <c r="C102" s="253"/>
      <c r="D102" s="253"/>
      <c r="E102" s="253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</row>
    <row r="103" spans="1:43" s="255" customFormat="1" x14ac:dyDescent="0.2">
      <c r="A103" s="253"/>
      <c r="B103" s="254"/>
      <c r="C103" s="253"/>
      <c r="D103" s="253"/>
      <c r="E103" s="253"/>
      <c r="F103" s="253"/>
      <c r="G103" s="253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</row>
    <row r="104" spans="1:43" s="255" customFormat="1" x14ac:dyDescent="0.2">
      <c r="A104" s="253"/>
      <c r="B104" s="254"/>
      <c r="C104" s="253"/>
      <c r="D104" s="253"/>
      <c r="E104" s="253"/>
      <c r="F104" s="253"/>
      <c r="G104" s="253"/>
      <c r="H104" s="253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  <c r="AK104" s="253"/>
      <c r="AL104" s="253"/>
      <c r="AM104" s="253"/>
      <c r="AN104" s="253"/>
      <c r="AO104" s="253"/>
      <c r="AP104" s="253"/>
      <c r="AQ104" s="253"/>
    </row>
    <row r="105" spans="1:43" s="255" customFormat="1" x14ac:dyDescent="0.2">
      <c r="A105" s="253"/>
      <c r="B105" s="254"/>
      <c r="C105" s="253"/>
      <c r="D105" s="253"/>
      <c r="E105" s="253"/>
      <c r="F105" s="253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</row>
    <row r="106" spans="1:43" s="255" customFormat="1" x14ac:dyDescent="0.2">
      <c r="A106" s="253"/>
      <c r="B106" s="254"/>
      <c r="C106" s="253"/>
      <c r="D106" s="253"/>
      <c r="E106" s="253"/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</row>
    <row r="107" spans="1:43" s="255" customFormat="1" x14ac:dyDescent="0.2">
      <c r="A107" s="253"/>
      <c r="B107" s="254"/>
      <c r="C107" s="253"/>
      <c r="D107" s="253"/>
      <c r="E107" s="253"/>
      <c r="F107" s="253"/>
      <c r="G107" s="253"/>
      <c r="H107" s="253"/>
      <c r="I107" s="253"/>
      <c r="J107" s="253"/>
      <c r="K107" s="253"/>
      <c r="L107" s="25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53"/>
      <c r="AH107" s="253"/>
      <c r="AI107" s="253"/>
      <c r="AJ107" s="253"/>
      <c r="AK107" s="253"/>
      <c r="AL107" s="253"/>
      <c r="AM107" s="253"/>
      <c r="AN107" s="253"/>
      <c r="AO107" s="253"/>
      <c r="AP107" s="253"/>
      <c r="AQ107" s="253"/>
    </row>
    <row r="108" spans="1:43" s="255" customFormat="1" x14ac:dyDescent="0.2">
      <c r="A108" s="253"/>
      <c r="B108" s="254"/>
      <c r="C108" s="253"/>
      <c r="D108" s="253"/>
      <c r="E108" s="253"/>
      <c r="F108" s="253"/>
      <c r="G108" s="253"/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3"/>
      <c r="AL108" s="253"/>
      <c r="AM108" s="253"/>
      <c r="AN108" s="253"/>
      <c r="AO108" s="253"/>
      <c r="AP108" s="253"/>
      <c r="AQ108" s="253"/>
    </row>
    <row r="109" spans="1:43" s="255" customFormat="1" x14ac:dyDescent="0.2">
      <c r="A109" s="253"/>
      <c r="B109" s="254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</row>
    <row r="110" spans="1:43" s="255" customFormat="1" x14ac:dyDescent="0.2">
      <c r="A110" s="253"/>
      <c r="B110" s="254"/>
      <c r="C110" s="253"/>
      <c r="D110" s="253"/>
      <c r="E110" s="253"/>
      <c r="F110" s="253"/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</row>
    <row r="111" spans="1:43" s="255" customFormat="1" x14ac:dyDescent="0.2">
      <c r="A111" s="253"/>
      <c r="B111" s="254"/>
      <c r="C111" s="253"/>
      <c r="D111" s="253"/>
      <c r="E111" s="253"/>
      <c r="F111" s="253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</row>
    <row r="112" spans="1:43" s="255" customFormat="1" x14ac:dyDescent="0.2">
      <c r="A112" s="253"/>
      <c r="B112" s="254"/>
      <c r="C112" s="253"/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  <c r="AH112" s="253"/>
      <c r="AI112" s="253"/>
      <c r="AJ112" s="253"/>
      <c r="AK112" s="253"/>
      <c r="AL112" s="253"/>
      <c r="AM112" s="253"/>
      <c r="AN112" s="253"/>
      <c r="AO112" s="253"/>
      <c r="AP112" s="253"/>
      <c r="AQ112" s="253"/>
    </row>
    <row r="113" spans="1:43" s="255" customFormat="1" x14ac:dyDescent="0.2">
      <c r="A113" s="253"/>
      <c r="B113" s="254"/>
      <c r="C113" s="253"/>
      <c r="D113" s="253"/>
      <c r="E113" s="253"/>
      <c r="F113" s="253"/>
      <c r="G113" s="253"/>
      <c r="H113" s="253"/>
      <c r="I113" s="253"/>
      <c r="J113" s="253"/>
      <c r="K113" s="253"/>
      <c r="L113" s="25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  <c r="AA113" s="253"/>
      <c r="AB113" s="253"/>
      <c r="AC113" s="253"/>
      <c r="AD113" s="253"/>
      <c r="AE113" s="253"/>
      <c r="AF113" s="253"/>
      <c r="AG113" s="253"/>
      <c r="AH113" s="253"/>
      <c r="AI113" s="253"/>
      <c r="AJ113" s="253"/>
      <c r="AK113" s="253"/>
      <c r="AL113" s="253"/>
      <c r="AM113" s="253"/>
      <c r="AN113" s="253"/>
      <c r="AO113" s="253"/>
      <c r="AP113" s="253"/>
      <c r="AQ113" s="253"/>
    </row>
    <row r="114" spans="1:43" s="255" customFormat="1" x14ac:dyDescent="0.2">
      <c r="A114" s="253"/>
      <c r="B114" s="254"/>
      <c r="C114" s="253"/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</row>
    <row r="115" spans="1:43" s="255" customFormat="1" x14ac:dyDescent="0.2">
      <c r="A115" s="253"/>
      <c r="B115" s="254"/>
      <c r="C115" s="253"/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</row>
    <row r="116" spans="1:43" s="255" customFormat="1" x14ac:dyDescent="0.2">
      <c r="A116" s="253"/>
      <c r="B116" s="254"/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</row>
    <row r="117" spans="1:43" s="255" customFormat="1" x14ac:dyDescent="0.2">
      <c r="A117" s="253"/>
      <c r="B117" s="254"/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3"/>
      <c r="AK117" s="253"/>
      <c r="AL117" s="253"/>
      <c r="AM117" s="253"/>
      <c r="AN117" s="253"/>
      <c r="AO117" s="253"/>
      <c r="AP117" s="253"/>
      <c r="AQ117" s="253"/>
    </row>
    <row r="118" spans="1:43" s="255" customFormat="1" x14ac:dyDescent="0.2">
      <c r="A118" s="253"/>
      <c r="B118" s="254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253"/>
      <c r="AF118" s="253"/>
      <c r="AG118" s="253"/>
      <c r="AH118" s="253"/>
      <c r="AI118" s="253"/>
      <c r="AJ118" s="253"/>
      <c r="AK118" s="253"/>
      <c r="AL118" s="253"/>
      <c r="AM118" s="253"/>
      <c r="AN118" s="253"/>
      <c r="AO118" s="253"/>
      <c r="AP118" s="253"/>
      <c r="AQ118" s="253"/>
    </row>
    <row r="119" spans="1:43" s="255" customFormat="1" x14ac:dyDescent="0.2">
      <c r="A119" s="253"/>
      <c r="B119" s="254"/>
      <c r="C119" s="253"/>
      <c r="D119" s="253"/>
      <c r="E119" s="253"/>
      <c r="F119" s="253"/>
      <c r="G119" s="253"/>
      <c r="H119" s="253"/>
      <c r="I119" s="253"/>
      <c r="J119" s="253"/>
      <c r="K119" s="253"/>
      <c r="L119" s="253"/>
      <c r="M119" s="253"/>
      <c r="N119" s="253"/>
      <c r="O119" s="253"/>
      <c r="P119" s="253"/>
      <c r="Q119" s="253"/>
      <c r="R119" s="253"/>
      <c r="S119" s="253"/>
      <c r="T119" s="253"/>
      <c r="U119" s="253"/>
      <c r="V119" s="253"/>
      <c r="W119" s="253"/>
      <c r="X119" s="253"/>
      <c r="Y119" s="253"/>
      <c r="Z119" s="253"/>
      <c r="AA119" s="253"/>
      <c r="AB119" s="253"/>
      <c r="AC119" s="253"/>
      <c r="AD119" s="253"/>
      <c r="AE119" s="253"/>
      <c r="AF119" s="253"/>
      <c r="AG119" s="253"/>
      <c r="AH119" s="253"/>
      <c r="AI119" s="253"/>
      <c r="AJ119" s="253"/>
      <c r="AK119" s="253"/>
      <c r="AL119" s="253"/>
      <c r="AM119" s="253"/>
      <c r="AN119" s="253"/>
      <c r="AO119" s="253"/>
      <c r="AP119" s="253"/>
      <c r="AQ119" s="253"/>
    </row>
    <row r="120" spans="1:43" s="255" customFormat="1" x14ac:dyDescent="0.2">
      <c r="A120" s="253"/>
      <c r="B120" s="254"/>
      <c r="C120" s="253"/>
      <c r="D120" s="253"/>
      <c r="E120" s="253"/>
      <c r="F120" s="253"/>
      <c r="G120" s="253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3"/>
      <c r="AB120" s="253"/>
      <c r="AC120" s="253"/>
      <c r="AD120" s="253"/>
      <c r="AE120" s="253"/>
      <c r="AF120" s="253"/>
      <c r="AG120" s="253"/>
      <c r="AH120" s="253"/>
      <c r="AI120" s="253"/>
      <c r="AJ120" s="253"/>
      <c r="AK120" s="253"/>
      <c r="AL120" s="253"/>
      <c r="AM120" s="253"/>
      <c r="AN120" s="253"/>
      <c r="AO120" s="253"/>
      <c r="AP120" s="253"/>
      <c r="AQ120" s="253"/>
    </row>
    <row r="121" spans="1:43" s="255" customFormat="1" x14ac:dyDescent="0.2">
      <c r="A121" s="253"/>
      <c r="B121" s="254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</row>
    <row r="122" spans="1:43" s="255" customFormat="1" x14ac:dyDescent="0.2">
      <c r="A122" s="253"/>
      <c r="B122" s="254"/>
      <c r="C122" s="253"/>
      <c r="D122" s="253"/>
      <c r="E122" s="253"/>
      <c r="F122" s="253"/>
      <c r="G122" s="253"/>
      <c r="H122" s="253"/>
      <c r="I122" s="253"/>
      <c r="J122" s="253"/>
      <c r="K122" s="253"/>
      <c r="L122" s="253"/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</row>
    <row r="123" spans="1:43" s="255" customFormat="1" x14ac:dyDescent="0.2">
      <c r="A123" s="253"/>
      <c r="B123" s="254"/>
      <c r="C123" s="253"/>
      <c r="D123" s="253"/>
      <c r="E123" s="253"/>
      <c r="F123" s="253"/>
      <c r="G123" s="253"/>
      <c r="H123" s="253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</row>
    <row r="124" spans="1:43" s="255" customFormat="1" x14ac:dyDescent="0.2">
      <c r="A124" s="253"/>
      <c r="B124" s="254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</row>
    <row r="125" spans="1:43" s="255" customFormat="1" x14ac:dyDescent="0.2">
      <c r="A125" s="253"/>
      <c r="B125" s="254"/>
      <c r="C125" s="253"/>
      <c r="D125" s="253"/>
      <c r="E125" s="253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</row>
    <row r="126" spans="1:43" s="255" customFormat="1" x14ac:dyDescent="0.2">
      <c r="A126" s="253"/>
      <c r="B126" s="254"/>
      <c r="C126" s="253"/>
      <c r="D126" s="253"/>
      <c r="E126" s="253"/>
      <c r="F126" s="253"/>
      <c r="G126" s="253"/>
      <c r="H126" s="253"/>
      <c r="I126" s="253"/>
      <c r="J126" s="253"/>
      <c r="K126" s="253"/>
      <c r="L126" s="253"/>
      <c r="M126" s="253"/>
      <c r="N126" s="253"/>
      <c r="O126" s="253"/>
      <c r="P126" s="253"/>
      <c r="Q126" s="253"/>
      <c r="R126" s="253"/>
      <c r="S126" s="253"/>
      <c r="T126" s="253"/>
      <c r="U126" s="253"/>
      <c r="V126" s="253"/>
      <c r="W126" s="253"/>
      <c r="X126" s="253"/>
      <c r="Y126" s="253"/>
      <c r="Z126" s="253"/>
      <c r="AA126" s="253"/>
      <c r="AB126" s="253"/>
      <c r="AC126" s="253"/>
      <c r="AD126" s="253"/>
      <c r="AE126" s="253"/>
      <c r="AF126" s="253"/>
      <c r="AG126" s="253"/>
      <c r="AH126" s="253"/>
      <c r="AI126" s="253"/>
      <c r="AJ126" s="253"/>
      <c r="AK126" s="253"/>
      <c r="AL126" s="253"/>
      <c r="AM126" s="253"/>
      <c r="AN126" s="253"/>
      <c r="AO126" s="253"/>
      <c r="AP126" s="253"/>
      <c r="AQ126" s="253"/>
    </row>
    <row r="127" spans="1:43" s="255" customFormat="1" x14ac:dyDescent="0.2">
      <c r="A127" s="253"/>
      <c r="B127" s="254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  <c r="AA127" s="253"/>
      <c r="AB127" s="253"/>
      <c r="AC127" s="253"/>
      <c r="AD127" s="253"/>
      <c r="AE127" s="253"/>
      <c r="AF127" s="253"/>
      <c r="AG127" s="253"/>
      <c r="AH127" s="253"/>
      <c r="AI127" s="253"/>
      <c r="AJ127" s="253"/>
      <c r="AK127" s="253"/>
      <c r="AL127" s="253"/>
      <c r="AM127" s="253"/>
      <c r="AN127" s="253"/>
      <c r="AO127" s="253"/>
      <c r="AP127" s="253"/>
      <c r="AQ127" s="253"/>
    </row>
    <row r="128" spans="1:43" s="255" customFormat="1" x14ac:dyDescent="0.2">
      <c r="A128" s="253"/>
      <c r="B128" s="254"/>
      <c r="C128" s="253"/>
      <c r="D128" s="253"/>
      <c r="E128" s="253"/>
      <c r="F128" s="253"/>
      <c r="G128" s="253"/>
      <c r="H128" s="253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53"/>
      <c r="AM128" s="253"/>
      <c r="AN128" s="253"/>
      <c r="AO128" s="253"/>
      <c r="AP128" s="253"/>
      <c r="AQ128" s="253"/>
    </row>
    <row r="129" spans="1:43" s="255" customFormat="1" x14ac:dyDescent="0.2">
      <c r="A129" s="253"/>
      <c r="B129" s="254"/>
      <c r="C129" s="253"/>
      <c r="D129" s="253"/>
      <c r="E129" s="253"/>
      <c r="F129" s="253"/>
      <c r="G129" s="253"/>
      <c r="H129" s="253"/>
      <c r="I129" s="253"/>
      <c r="J129" s="253"/>
      <c r="K129" s="253"/>
      <c r="L129" s="253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53"/>
      <c r="AK129" s="253"/>
      <c r="AL129" s="253"/>
      <c r="AM129" s="253"/>
      <c r="AN129" s="253"/>
      <c r="AO129" s="253"/>
      <c r="AP129" s="253"/>
      <c r="AQ129" s="253"/>
    </row>
    <row r="130" spans="1:43" s="255" customFormat="1" x14ac:dyDescent="0.2">
      <c r="A130" s="253"/>
      <c r="B130" s="254"/>
      <c r="C130" s="253"/>
      <c r="D130" s="253"/>
      <c r="E130" s="253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  <c r="AA130" s="253"/>
      <c r="AB130" s="253"/>
      <c r="AC130" s="253"/>
      <c r="AD130" s="253"/>
      <c r="AE130" s="253"/>
      <c r="AF130" s="253"/>
      <c r="AG130" s="253"/>
      <c r="AH130" s="253"/>
      <c r="AI130" s="253"/>
      <c r="AJ130" s="253"/>
      <c r="AK130" s="253"/>
      <c r="AL130" s="253"/>
      <c r="AM130" s="253"/>
      <c r="AN130" s="253"/>
      <c r="AO130" s="253"/>
      <c r="AP130" s="253"/>
      <c r="AQ130" s="253"/>
    </row>
    <row r="131" spans="1:43" s="255" customFormat="1" x14ac:dyDescent="0.2">
      <c r="A131" s="253"/>
      <c r="B131" s="254"/>
      <c r="C131" s="253"/>
      <c r="D131" s="253"/>
      <c r="E131" s="253"/>
      <c r="F131" s="253"/>
      <c r="G131" s="253"/>
      <c r="H131" s="253"/>
      <c r="I131" s="253"/>
      <c r="J131" s="253"/>
      <c r="K131" s="253"/>
      <c r="L131" s="25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  <c r="AA131" s="253"/>
      <c r="AB131" s="253"/>
      <c r="AC131" s="253"/>
      <c r="AD131" s="253"/>
      <c r="AE131" s="253"/>
      <c r="AF131" s="253"/>
      <c r="AG131" s="253"/>
      <c r="AH131" s="253"/>
      <c r="AI131" s="253"/>
      <c r="AJ131" s="253"/>
      <c r="AK131" s="253"/>
      <c r="AL131" s="253"/>
      <c r="AM131" s="253"/>
      <c r="AN131" s="253"/>
      <c r="AO131" s="253"/>
      <c r="AP131" s="253"/>
      <c r="AQ131" s="253"/>
    </row>
    <row r="132" spans="1:43" s="255" customFormat="1" x14ac:dyDescent="0.2">
      <c r="A132" s="253"/>
      <c r="B132" s="254"/>
      <c r="C132" s="253"/>
      <c r="D132" s="253"/>
      <c r="E132" s="253"/>
      <c r="F132" s="253"/>
      <c r="G132" s="253"/>
      <c r="H132" s="253"/>
      <c r="I132" s="253"/>
      <c r="J132" s="253"/>
      <c r="K132" s="253"/>
      <c r="L132" s="253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  <c r="AA132" s="253"/>
      <c r="AB132" s="253"/>
      <c r="AC132" s="253"/>
      <c r="AD132" s="253"/>
      <c r="AE132" s="253"/>
      <c r="AF132" s="253"/>
      <c r="AG132" s="253"/>
      <c r="AH132" s="253"/>
      <c r="AI132" s="253"/>
      <c r="AJ132" s="253"/>
      <c r="AK132" s="253"/>
      <c r="AL132" s="253"/>
      <c r="AM132" s="253"/>
      <c r="AN132" s="253"/>
      <c r="AO132" s="253"/>
      <c r="AP132" s="253"/>
      <c r="AQ132" s="253"/>
    </row>
    <row r="133" spans="1:43" s="255" customFormat="1" x14ac:dyDescent="0.2">
      <c r="A133" s="253"/>
      <c r="B133" s="254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3"/>
      <c r="AG133" s="253"/>
      <c r="AH133" s="253"/>
      <c r="AI133" s="253"/>
      <c r="AJ133" s="253"/>
      <c r="AK133" s="253"/>
      <c r="AL133" s="253"/>
      <c r="AM133" s="253"/>
      <c r="AN133" s="253"/>
      <c r="AO133" s="253"/>
      <c r="AP133" s="253"/>
      <c r="AQ133" s="253"/>
    </row>
    <row r="134" spans="1:43" s="255" customFormat="1" x14ac:dyDescent="0.2">
      <c r="A134" s="253"/>
      <c r="B134" s="254"/>
      <c r="C134" s="253"/>
      <c r="D134" s="253"/>
      <c r="E134" s="253"/>
      <c r="F134" s="253"/>
      <c r="G134" s="253"/>
      <c r="H134" s="253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53"/>
      <c r="AC134" s="253"/>
      <c r="AD134" s="253"/>
      <c r="AE134" s="253"/>
      <c r="AF134" s="253"/>
      <c r="AG134" s="253"/>
      <c r="AH134" s="253"/>
      <c r="AI134" s="253"/>
      <c r="AJ134" s="253"/>
      <c r="AK134" s="253"/>
      <c r="AL134" s="253"/>
      <c r="AM134" s="253"/>
      <c r="AN134" s="253"/>
      <c r="AO134" s="253"/>
      <c r="AP134" s="253"/>
      <c r="AQ134" s="253"/>
    </row>
    <row r="135" spans="1:43" s="255" customFormat="1" x14ac:dyDescent="0.2">
      <c r="A135" s="253"/>
      <c r="B135" s="254"/>
      <c r="C135" s="253"/>
      <c r="D135" s="253"/>
      <c r="E135" s="253"/>
      <c r="F135" s="253"/>
      <c r="G135" s="253"/>
      <c r="H135" s="253"/>
      <c r="I135" s="253"/>
      <c r="J135" s="253"/>
      <c r="K135" s="253"/>
      <c r="L135" s="253"/>
      <c r="M135" s="253"/>
      <c r="N135" s="253"/>
      <c r="O135" s="253"/>
      <c r="P135" s="253"/>
      <c r="Q135" s="253"/>
      <c r="R135" s="253"/>
      <c r="S135" s="253"/>
      <c r="T135" s="253"/>
      <c r="U135" s="253"/>
      <c r="V135" s="253"/>
      <c r="W135" s="253"/>
      <c r="X135" s="253"/>
      <c r="Y135" s="253"/>
      <c r="Z135" s="253"/>
      <c r="AA135" s="253"/>
      <c r="AB135" s="253"/>
      <c r="AC135" s="253"/>
      <c r="AD135" s="253"/>
      <c r="AE135" s="253"/>
      <c r="AF135" s="253"/>
      <c r="AG135" s="253"/>
      <c r="AH135" s="253"/>
      <c r="AI135" s="253"/>
      <c r="AJ135" s="253"/>
      <c r="AK135" s="253"/>
      <c r="AL135" s="253"/>
      <c r="AM135" s="253"/>
      <c r="AN135" s="253"/>
      <c r="AO135" s="253"/>
      <c r="AP135" s="253"/>
      <c r="AQ135" s="253"/>
    </row>
    <row r="136" spans="1:43" s="255" customFormat="1" x14ac:dyDescent="0.2">
      <c r="A136" s="253"/>
      <c r="B136" s="254"/>
      <c r="C136" s="253"/>
      <c r="D136" s="253"/>
      <c r="E136" s="253"/>
      <c r="F136" s="253"/>
      <c r="G136" s="253"/>
      <c r="H136" s="253"/>
      <c r="I136" s="253"/>
      <c r="J136" s="253"/>
      <c r="K136" s="253"/>
      <c r="L136" s="253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253"/>
      <c r="AN136" s="253"/>
      <c r="AO136" s="253"/>
      <c r="AP136" s="253"/>
      <c r="AQ136" s="253"/>
    </row>
    <row r="137" spans="1:43" s="255" customFormat="1" x14ac:dyDescent="0.2">
      <c r="A137" s="253"/>
      <c r="B137" s="254"/>
      <c r="C137" s="253"/>
      <c r="D137" s="253"/>
      <c r="E137" s="253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</row>
    <row r="138" spans="1:43" s="255" customFormat="1" x14ac:dyDescent="0.2">
      <c r="A138" s="253"/>
      <c r="B138" s="254"/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</row>
    <row r="139" spans="1:43" s="255" customFormat="1" x14ac:dyDescent="0.2">
      <c r="A139" s="253"/>
      <c r="B139" s="254"/>
      <c r="C139" s="253"/>
      <c r="D139" s="253"/>
      <c r="E139" s="253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</row>
    <row r="140" spans="1:43" s="255" customFormat="1" x14ac:dyDescent="0.2">
      <c r="A140" s="253"/>
      <c r="B140" s="254"/>
      <c r="C140" s="253"/>
      <c r="D140" s="253"/>
      <c r="E140" s="253"/>
      <c r="F140" s="253"/>
      <c r="G140" s="253"/>
      <c r="H140" s="253"/>
      <c r="I140" s="253"/>
      <c r="J140" s="253"/>
      <c r="K140" s="253"/>
      <c r="L140" s="253"/>
      <c r="M140" s="253"/>
      <c r="N140" s="253"/>
      <c r="O140" s="253"/>
      <c r="P140" s="253"/>
      <c r="Q140" s="253"/>
      <c r="R140" s="253"/>
      <c r="S140" s="253"/>
      <c r="T140" s="253"/>
      <c r="U140" s="253"/>
      <c r="V140" s="253"/>
      <c r="W140" s="253"/>
      <c r="X140" s="253"/>
      <c r="Y140" s="253"/>
      <c r="Z140" s="253"/>
      <c r="AA140" s="253"/>
      <c r="AB140" s="253"/>
      <c r="AC140" s="253"/>
      <c r="AD140" s="253"/>
      <c r="AE140" s="253"/>
      <c r="AF140" s="253"/>
      <c r="AG140" s="253"/>
      <c r="AH140" s="253"/>
      <c r="AI140" s="253"/>
      <c r="AJ140" s="253"/>
      <c r="AK140" s="253"/>
      <c r="AL140" s="253"/>
      <c r="AM140" s="253"/>
      <c r="AN140" s="253"/>
      <c r="AO140" s="253"/>
      <c r="AP140" s="253"/>
      <c r="AQ140" s="253"/>
    </row>
    <row r="141" spans="1:43" s="255" customFormat="1" x14ac:dyDescent="0.2">
      <c r="A141" s="253"/>
      <c r="B141" s="254"/>
      <c r="C141" s="253"/>
      <c r="D141" s="253"/>
      <c r="E141" s="253"/>
      <c r="F141" s="253"/>
      <c r="G141" s="253"/>
      <c r="H141" s="253"/>
      <c r="I141" s="253"/>
      <c r="J141" s="253"/>
      <c r="K141" s="253"/>
      <c r="L141" s="253"/>
      <c r="M141" s="253"/>
      <c r="N141" s="253"/>
      <c r="O141" s="253"/>
      <c r="P141" s="253"/>
      <c r="Q141" s="253"/>
      <c r="R141" s="253"/>
      <c r="S141" s="253"/>
      <c r="T141" s="253"/>
      <c r="U141" s="253"/>
      <c r="V141" s="253"/>
      <c r="W141" s="253"/>
      <c r="X141" s="253"/>
      <c r="Y141" s="253"/>
      <c r="Z141" s="253"/>
      <c r="AA141" s="253"/>
      <c r="AB141" s="253"/>
      <c r="AC141" s="253"/>
      <c r="AD141" s="253"/>
      <c r="AE141" s="253"/>
      <c r="AF141" s="253"/>
      <c r="AG141" s="253"/>
      <c r="AH141" s="253"/>
      <c r="AI141" s="253"/>
      <c r="AJ141" s="253"/>
      <c r="AK141" s="253"/>
      <c r="AL141" s="253"/>
      <c r="AM141" s="253"/>
      <c r="AN141" s="253"/>
      <c r="AO141" s="253"/>
      <c r="AP141" s="253"/>
      <c r="AQ141" s="253"/>
    </row>
    <row r="142" spans="1:43" s="255" customFormat="1" x14ac:dyDescent="0.2">
      <c r="A142" s="253"/>
      <c r="B142" s="254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  <c r="AH142" s="253"/>
      <c r="AI142" s="253"/>
      <c r="AJ142" s="253"/>
      <c r="AK142" s="253"/>
      <c r="AL142" s="253"/>
      <c r="AM142" s="253"/>
      <c r="AN142" s="253"/>
      <c r="AO142" s="253"/>
      <c r="AP142" s="253"/>
      <c r="AQ142" s="253"/>
    </row>
    <row r="143" spans="1:43" s="255" customFormat="1" x14ac:dyDescent="0.2">
      <c r="A143" s="253"/>
      <c r="B143" s="254"/>
      <c r="C143" s="253"/>
      <c r="D143" s="253"/>
      <c r="E143" s="253"/>
      <c r="F143" s="253"/>
      <c r="G143" s="253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</row>
    <row r="144" spans="1:43" s="255" customFormat="1" x14ac:dyDescent="0.2">
      <c r="A144" s="253"/>
      <c r="B144" s="254"/>
      <c r="C144" s="253"/>
      <c r="D144" s="253"/>
      <c r="E144" s="253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</row>
    <row r="145" spans="1:43" s="255" customFormat="1" x14ac:dyDescent="0.2">
      <c r="A145" s="253"/>
      <c r="B145" s="254"/>
      <c r="C145" s="253"/>
      <c r="D145" s="253"/>
      <c r="E145" s="253"/>
      <c r="F145" s="253"/>
      <c r="G145" s="253"/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</row>
    <row r="146" spans="1:43" s="255" customFormat="1" x14ac:dyDescent="0.2">
      <c r="A146" s="253"/>
      <c r="B146" s="254"/>
      <c r="C146" s="253"/>
      <c r="D146" s="253"/>
      <c r="E146" s="253"/>
      <c r="F146" s="253"/>
      <c r="G146" s="253"/>
      <c r="H146" s="253"/>
      <c r="I146" s="253"/>
      <c r="J146" s="253"/>
      <c r="K146" s="253"/>
      <c r="L146" s="253"/>
      <c r="M146" s="253"/>
      <c r="N146" s="253"/>
      <c r="O146" s="253"/>
      <c r="P146" s="253"/>
      <c r="Q146" s="253"/>
      <c r="R146" s="253"/>
      <c r="S146" s="253"/>
      <c r="T146" s="253"/>
      <c r="U146" s="253"/>
      <c r="V146" s="253"/>
      <c r="W146" s="253"/>
      <c r="X146" s="253"/>
      <c r="Y146" s="253"/>
      <c r="Z146" s="253"/>
      <c r="AA146" s="253"/>
      <c r="AB146" s="253"/>
      <c r="AC146" s="253"/>
      <c r="AD146" s="253"/>
      <c r="AE146" s="253"/>
      <c r="AF146" s="253"/>
      <c r="AG146" s="253"/>
      <c r="AH146" s="253"/>
      <c r="AI146" s="253"/>
      <c r="AJ146" s="253"/>
      <c r="AK146" s="253"/>
      <c r="AL146" s="253"/>
      <c r="AM146" s="253"/>
      <c r="AN146" s="253"/>
      <c r="AO146" s="253"/>
      <c r="AP146" s="253"/>
      <c r="AQ146" s="253"/>
    </row>
    <row r="147" spans="1:43" s="255" customFormat="1" x14ac:dyDescent="0.2">
      <c r="A147" s="253"/>
      <c r="B147" s="254"/>
      <c r="C147" s="253"/>
      <c r="D147" s="253"/>
      <c r="E147" s="253"/>
      <c r="F147" s="253"/>
      <c r="G147" s="253"/>
      <c r="H147" s="253"/>
      <c r="I147" s="253"/>
      <c r="J147" s="253"/>
      <c r="K147" s="253"/>
      <c r="L147" s="253"/>
      <c r="M147" s="253"/>
      <c r="N147" s="253"/>
      <c r="O147" s="253"/>
      <c r="P147" s="253"/>
      <c r="Q147" s="253"/>
      <c r="R147" s="253"/>
      <c r="S147" s="253"/>
      <c r="T147" s="253"/>
      <c r="U147" s="253"/>
      <c r="V147" s="253"/>
      <c r="W147" s="253"/>
      <c r="X147" s="253"/>
      <c r="Y147" s="253"/>
      <c r="Z147" s="253"/>
      <c r="AA147" s="253"/>
      <c r="AB147" s="253"/>
      <c r="AC147" s="253"/>
      <c r="AD147" s="253"/>
      <c r="AE147" s="253"/>
      <c r="AF147" s="253"/>
      <c r="AG147" s="253"/>
      <c r="AH147" s="253"/>
      <c r="AI147" s="253"/>
      <c r="AJ147" s="253"/>
      <c r="AK147" s="253"/>
      <c r="AL147" s="253"/>
      <c r="AM147" s="253"/>
      <c r="AN147" s="253"/>
      <c r="AO147" s="253"/>
      <c r="AP147" s="253"/>
      <c r="AQ147" s="253"/>
    </row>
    <row r="148" spans="1:43" s="255" customFormat="1" x14ac:dyDescent="0.2">
      <c r="A148" s="253"/>
      <c r="B148" s="254"/>
      <c r="C148" s="253"/>
      <c r="D148" s="253"/>
      <c r="E148" s="253"/>
      <c r="F148" s="253"/>
      <c r="G148" s="253"/>
      <c r="H148" s="253"/>
      <c r="I148" s="253"/>
      <c r="J148" s="253"/>
      <c r="K148" s="253"/>
      <c r="L148" s="253"/>
      <c r="M148" s="253"/>
      <c r="N148" s="253"/>
      <c r="O148" s="253"/>
      <c r="P148" s="253"/>
      <c r="Q148" s="253"/>
      <c r="R148" s="253"/>
      <c r="S148" s="253"/>
      <c r="T148" s="253"/>
      <c r="U148" s="253"/>
      <c r="V148" s="253"/>
      <c r="W148" s="253"/>
      <c r="X148" s="253"/>
      <c r="Y148" s="253"/>
      <c r="Z148" s="253"/>
      <c r="AA148" s="253"/>
      <c r="AB148" s="253"/>
      <c r="AC148" s="253"/>
      <c r="AD148" s="253"/>
      <c r="AE148" s="253"/>
      <c r="AF148" s="253"/>
      <c r="AG148" s="253"/>
      <c r="AH148" s="253"/>
      <c r="AI148" s="253"/>
      <c r="AJ148" s="253"/>
      <c r="AK148" s="253"/>
      <c r="AL148" s="253"/>
      <c r="AM148" s="253"/>
      <c r="AN148" s="253"/>
      <c r="AO148" s="253"/>
      <c r="AP148" s="253"/>
      <c r="AQ148" s="253"/>
    </row>
    <row r="149" spans="1:43" s="255" customFormat="1" x14ac:dyDescent="0.2">
      <c r="A149" s="253"/>
      <c r="B149" s="254"/>
      <c r="C149" s="253"/>
      <c r="D149" s="253"/>
      <c r="E149" s="253"/>
      <c r="F149" s="253"/>
      <c r="G149" s="253"/>
      <c r="H149" s="253"/>
      <c r="I149" s="253"/>
      <c r="J149" s="253"/>
      <c r="K149" s="253"/>
      <c r="L149" s="253"/>
      <c r="M149" s="253"/>
      <c r="N149" s="253"/>
      <c r="O149" s="253"/>
      <c r="P149" s="253"/>
      <c r="Q149" s="253"/>
      <c r="R149" s="253"/>
      <c r="S149" s="253"/>
      <c r="T149" s="253"/>
      <c r="U149" s="253"/>
      <c r="V149" s="253"/>
      <c r="W149" s="253"/>
      <c r="X149" s="253"/>
      <c r="Y149" s="253"/>
      <c r="Z149" s="253"/>
      <c r="AA149" s="253"/>
      <c r="AB149" s="253"/>
      <c r="AC149" s="253"/>
      <c r="AD149" s="253"/>
      <c r="AE149" s="253"/>
      <c r="AF149" s="253"/>
      <c r="AG149" s="253"/>
      <c r="AH149" s="253"/>
      <c r="AI149" s="253"/>
      <c r="AJ149" s="253"/>
      <c r="AK149" s="253"/>
      <c r="AL149" s="253"/>
      <c r="AM149" s="253"/>
      <c r="AN149" s="253"/>
      <c r="AO149" s="253"/>
      <c r="AP149" s="253"/>
      <c r="AQ149" s="253"/>
    </row>
    <row r="150" spans="1:43" s="255" customFormat="1" x14ac:dyDescent="0.2">
      <c r="A150" s="253"/>
      <c r="B150" s="254"/>
      <c r="C150" s="253"/>
      <c r="D150" s="253"/>
      <c r="E150" s="253"/>
      <c r="F150" s="253"/>
      <c r="G150" s="253"/>
      <c r="H150" s="253"/>
      <c r="I150" s="253"/>
      <c r="J150" s="253"/>
      <c r="K150" s="253"/>
      <c r="L150" s="253"/>
      <c r="M150" s="253"/>
      <c r="N150" s="253"/>
      <c r="O150" s="253"/>
      <c r="P150" s="253"/>
      <c r="Q150" s="253"/>
      <c r="R150" s="253"/>
      <c r="S150" s="253"/>
      <c r="T150" s="253"/>
      <c r="U150" s="253"/>
      <c r="V150" s="253"/>
      <c r="W150" s="253"/>
      <c r="X150" s="253"/>
      <c r="Y150" s="253"/>
      <c r="Z150" s="253"/>
      <c r="AA150" s="253"/>
      <c r="AB150" s="253"/>
      <c r="AC150" s="253"/>
      <c r="AD150" s="253"/>
      <c r="AE150" s="253"/>
      <c r="AF150" s="253"/>
      <c r="AG150" s="253"/>
      <c r="AH150" s="253"/>
      <c r="AI150" s="253"/>
      <c r="AJ150" s="253"/>
      <c r="AK150" s="253"/>
      <c r="AL150" s="253"/>
      <c r="AM150" s="253"/>
      <c r="AN150" s="253"/>
      <c r="AO150" s="253"/>
      <c r="AP150" s="253"/>
      <c r="AQ150" s="253"/>
    </row>
    <row r="151" spans="1:43" s="255" customFormat="1" x14ac:dyDescent="0.2">
      <c r="A151" s="253"/>
      <c r="B151" s="254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</row>
    <row r="152" spans="1:43" s="255" customFormat="1" x14ac:dyDescent="0.2">
      <c r="A152" s="253"/>
      <c r="B152" s="254"/>
      <c r="C152" s="253"/>
      <c r="D152" s="253"/>
      <c r="E152" s="253"/>
      <c r="F152" s="253"/>
      <c r="G152" s="253"/>
      <c r="H152" s="253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</row>
    <row r="153" spans="1:43" s="255" customFormat="1" x14ac:dyDescent="0.2">
      <c r="A153" s="253"/>
      <c r="B153" s="254"/>
      <c r="C153" s="253"/>
      <c r="D153" s="253"/>
      <c r="E153" s="253"/>
      <c r="F153" s="253"/>
      <c r="G153" s="253"/>
      <c r="H153" s="253"/>
      <c r="I153" s="253"/>
      <c r="J153" s="253"/>
      <c r="K153" s="253"/>
      <c r="L153" s="25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3"/>
    </row>
    <row r="154" spans="1:43" s="255" customFormat="1" x14ac:dyDescent="0.2">
      <c r="A154" s="253"/>
      <c r="B154" s="254"/>
      <c r="C154" s="253"/>
      <c r="D154" s="253"/>
      <c r="E154" s="253"/>
      <c r="F154" s="253"/>
      <c r="G154" s="253"/>
      <c r="H154" s="253"/>
      <c r="I154" s="253"/>
      <c r="J154" s="253"/>
      <c r="K154" s="253"/>
      <c r="L154" s="253"/>
      <c r="M154" s="253"/>
      <c r="N154" s="253"/>
      <c r="O154" s="253"/>
      <c r="P154" s="253"/>
      <c r="Q154" s="253"/>
      <c r="R154" s="253"/>
      <c r="S154" s="253"/>
      <c r="T154" s="253"/>
      <c r="U154" s="253"/>
      <c r="V154" s="253"/>
      <c r="W154" s="253"/>
      <c r="X154" s="253"/>
      <c r="Y154" s="253"/>
      <c r="Z154" s="253"/>
      <c r="AA154" s="253"/>
      <c r="AB154" s="253"/>
      <c r="AC154" s="253"/>
      <c r="AD154" s="253"/>
      <c r="AE154" s="253"/>
      <c r="AF154" s="253"/>
      <c r="AG154" s="253"/>
      <c r="AH154" s="253"/>
      <c r="AI154" s="253"/>
      <c r="AJ154" s="253"/>
      <c r="AK154" s="253"/>
      <c r="AL154" s="253"/>
      <c r="AM154" s="253"/>
      <c r="AN154" s="253"/>
      <c r="AO154" s="253"/>
      <c r="AP154" s="253"/>
      <c r="AQ154" s="253"/>
    </row>
    <row r="155" spans="1:43" s="255" customFormat="1" x14ac:dyDescent="0.2">
      <c r="A155" s="253"/>
      <c r="B155" s="254"/>
      <c r="C155" s="253"/>
      <c r="D155" s="253"/>
      <c r="E155" s="253"/>
      <c r="F155" s="253"/>
      <c r="G155" s="253"/>
      <c r="H155" s="253"/>
      <c r="I155" s="253"/>
      <c r="J155" s="253"/>
      <c r="K155" s="253"/>
      <c r="L155" s="253"/>
      <c r="M155" s="253"/>
      <c r="N155" s="253"/>
      <c r="O155" s="253"/>
      <c r="P155" s="253"/>
      <c r="Q155" s="253"/>
      <c r="R155" s="253"/>
      <c r="S155" s="253"/>
      <c r="T155" s="253"/>
      <c r="U155" s="253"/>
      <c r="V155" s="253"/>
      <c r="W155" s="253"/>
      <c r="X155" s="253"/>
      <c r="Y155" s="253"/>
      <c r="Z155" s="253"/>
      <c r="AA155" s="253"/>
      <c r="AB155" s="253"/>
      <c r="AC155" s="253"/>
      <c r="AD155" s="253"/>
      <c r="AE155" s="253"/>
      <c r="AF155" s="253"/>
      <c r="AG155" s="253"/>
      <c r="AH155" s="253"/>
      <c r="AI155" s="253"/>
      <c r="AJ155" s="253"/>
      <c r="AK155" s="253"/>
      <c r="AL155" s="253"/>
      <c r="AM155" s="253"/>
      <c r="AN155" s="253"/>
      <c r="AO155" s="253"/>
      <c r="AP155" s="253"/>
      <c r="AQ155" s="253"/>
    </row>
    <row r="156" spans="1:43" s="255" customFormat="1" x14ac:dyDescent="0.2">
      <c r="A156" s="253"/>
      <c r="B156" s="254"/>
      <c r="C156" s="253"/>
      <c r="D156" s="253"/>
      <c r="E156" s="253"/>
      <c r="F156" s="253"/>
      <c r="G156" s="253"/>
      <c r="H156" s="253"/>
      <c r="I156" s="253"/>
      <c r="J156" s="253"/>
      <c r="K156" s="253"/>
      <c r="L156" s="25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53"/>
      <c r="AP156" s="253"/>
      <c r="AQ156" s="253"/>
    </row>
    <row r="157" spans="1:43" s="255" customFormat="1" x14ac:dyDescent="0.2">
      <c r="A157" s="253"/>
      <c r="B157" s="254"/>
      <c r="C157" s="253"/>
      <c r="D157" s="253"/>
      <c r="E157" s="253"/>
      <c r="F157" s="253"/>
      <c r="G157" s="253"/>
      <c r="H157" s="253"/>
      <c r="I157" s="253"/>
      <c r="J157" s="253"/>
      <c r="K157" s="253"/>
      <c r="L157" s="25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  <c r="AA157" s="253"/>
      <c r="AB157" s="253"/>
      <c r="AC157" s="253"/>
      <c r="AD157" s="253"/>
      <c r="AE157" s="253"/>
      <c r="AF157" s="253"/>
      <c r="AG157" s="253"/>
      <c r="AH157" s="253"/>
      <c r="AI157" s="253"/>
      <c r="AJ157" s="253"/>
      <c r="AK157" s="253"/>
      <c r="AL157" s="253"/>
      <c r="AM157" s="253"/>
      <c r="AN157" s="253"/>
      <c r="AO157" s="253"/>
      <c r="AP157" s="253"/>
      <c r="AQ157" s="253"/>
    </row>
    <row r="158" spans="1:43" s="255" customFormat="1" x14ac:dyDescent="0.2">
      <c r="A158" s="253"/>
      <c r="B158" s="254"/>
      <c r="C158" s="253"/>
      <c r="D158" s="253"/>
      <c r="E158" s="253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  <c r="AH158" s="253"/>
      <c r="AI158" s="253"/>
      <c r="AJ158" s="253"/>
      <c r="AK158" s="253"/>
      <c r="AL158" s="253"/>
      <c r="AM158" s="253"/>
      <c r="AN158" s="253"/>
      <c r="AO158" s="253"/>
      <c r="AP158" s="253"/>
      <c r="AQ158" s="253"/>
    </row>
    <row r="159" spans="1:43" s="255" customFormat="1" x14ac:dyDescent="0.2">
      <c r="A159" s="253"/>
      <c r="B159" s="254"/>
      <c r="C159" s="253"/>
      <c r="D159" s="253"/>
      <c r="E159" s="253"/>
      <c r="F159" s="253"/>
      <c r="G159" s="253"/>
      <c r="H159" s="253"/>
      <c r="I159" s="253"/>
      <c r="J159" s="253"/>
      <c r="K159" s="253"/>
      <c r="L159" s="25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  <c r="AA159" s="253"/>
      <c r="AB159" s="253"/>
      <c r="AC159" s="253"/>
      <c r="AD159" s="253"/>
      <c r="AE159" s="253"/>
      <c r="AF159" s="253"/>
      <c r="AG159" s="253"/>
      <c r="AH159" s="253"/>
      <c r="AI159" s="253"/>
      <c r="AJ159" s="253"/>
      <c r="AK159" s="253"/>
      <c r="AL159" s="253"/>
      <c r="AM159" s="253"/>
      <c r="AN159" s="253"/>
      <c r="AO159" s="253"/>
      <c r="AP159" s="253"/>
      <c r="AQ159" s="253"/>
    </row>
    <row r="160" spans="1:43" s="255" customFormat="1" x14ac:dyDescent="0.2">
      <c r="A160" s="253"/>
      <c r="B160" s="254"/>
      <c r="C160" s="253"/>
      <c r="D160" s="253"/>
      <c r="E160" s="253"/>
      <c r="F160" s="253"/>
      <c r="G160" s="253"/>
      <c r="H160" s="253"/>
      <c r="I160" s="253"/>
      <c r="J160" s="253"/>
      <c r="K160" s="253"/>
      <c r="L160" s="253"/>
      <c r="M160" s="253"/>
      <c r="N160" s="253"/>
      <c r="O160" s="253"/>
      <c r="P160" s="253"/>
      <c r="Q160" s="253"/>
      <c r="R160" s="253"/>
      <c r="S160" s="253"/>
      <c r="T160" s="253"/>
      <c r="U160" s="253"/>
      <c r="V160" s="253"/>
      <c r="W160" s="253"/>
      <c r="X160" s="253"/>
      <c r="Y160" s="253"/>
      <c r="Z160" s="253"/>
      <c r="AA160" s="253"/>
      <c r="AB160" s="253"/>
      <c r="AC160" s="253"/>
      <c r="AD160" s="253"/>
      <c r="AE160" s="253"/>
      <c r="AF160" s="253"/>
      <c r="AG160" s="253"/>
      <c r="AH160" s="253"/>
      <c r="AI160" s="253"/>
      <c r="AJ160" s="253"/>
      <c r="AK160" s="253"/>
      <c r="AL160" s="253"/>
      <c r="AM160" s="253"/>
      <c r="AN160" s="253"/>
      <c r="AO160" s="253"/>
      <c r="AP160" s="253"/>
      <c r="AQ160" s="253"/>
    </row>
    <row r="161" spans="1:43" s="255" customFormat="1" x14ac:dyDescent="0.2">
      <c r="A161" s="253"/>
      <c r="B161" s="254"/>
      <c r="C161" s="253"/>
      <c r="D161" s="253"/>
      <c r="E161" s="253"/>
      <c r="F161" s="253"/>
      <c r="G161" s="253"/>
      <c r="H161" s="253"/>
      <c r="I161" s="253"/>
      <c r="J161" s="253"/>
      <c r="K161" s="253"/>
      <c r="L161" s="253"/>
      <c r="M161" s="253"/>
      <c r="N161" s="253"/>
      <c r="O161" s="253"/>
      <c r="P161" s="253"/>
      <c r="Q161" s="253"/>
      <c r="R161" s="253"/>
      <c r="S161" s="253"/>
      <c r="T161" s="253"/>
      <c r="U161" s="253"/>
      <c r="V161" s="253"/>
      <c r="W161" s="253"/>
      <c r="X161" s="253"/>
      <c r="Y161" s="253"/>
      <c r="Z161" s="253"/>
      <c r="AA161" s="253"/>
      <c r="AB161" s="253"/>
      <c r="AC161" s="253"/>
      <c r="AD161" s="253"/>
      <c r="AE161" s="253"/>
      <c r="AF161" s="253"/>
      <c r="AG161" s="253"/>
      <c r="AH161" s="253"/>
      <c r="AI161" s="253"/>
      <c r="AJ161" s="253"/>
      <c r="AK161" s="253"/>
      <c r="AL161" s="253"/>
      <c r="AM161" s="253"/>
      <c r="AN161" s="253"/>
      <c r="AO161" s="253"/>
      <c r="AP161" s="253"/>
      <c r="AQ161" s="253"/>
    </row>
    <row r="162" spans="1:43" s="255" customFormat="1" x14ac:dyDescent="0.2">
      <c r="A162" s="253"/>
      <c r="B162" s="254"/>
      <c r="C162" s="253"/>
      <c r="D162" s="253"/>
      <c r="E162" s="253"/>
      <c r="F162" s="253"/>
      <c r="G162" s="253"/>
      <c r="H162" s="253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  <c r="AA162" s="253"/>
      <c r="AB162" s="253"/>
      <c r="AC162" s="253"/>
      <c r="AD162" s="253"/>
      <c r="AE162" s="253"/>
      <c r="AF162" s="253"/>
      <c r="AG162" s="253"/>
      <c r="AH162" s="253"/>
      <c r="AI162" s="253"/>
      <c r="AJ162" s="253"/>
      <c r="AK162" s="253"/>
      <c r="AL162" s="253"/>
      <c r="AM162" s="253"/>
      <c r="AN162" s="253"/>
      <c r="AO162" s="253"/>
      <c r="AP162" s="253"/>
      <c r="AQ162" s="253"/>
    </row>
    <row r="163" spans="1:43" s="255" customFormat="1" x14ac:dyDescent="0.2">
      <c r="A163" s="253"/>
      <c r="B163" s="254"/>
      <c r="C163" s="253"/>
      <c r="D163" s="253"/>
      <c r="E163" s="253"/>
      <c r="F163" s="253"/>
      <c r="G163" s="253"/>
      <c r="H163" s="253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  <c r="AA163" s="253"/>
      <c r="AB163" s="253"/>
      <c r="AC163" s="253"/>
      <c r="AD163" s="253"/>
      <c r="AE163" s="253"/>
      <c r="AF163" s="253"/>
      <c r="AG163" s="253"/>
      <c r="AH163" s="253"/>
      <c r="AI163" s="253"/>
      <c r="AJ163" s="253"/>
      <c r="AK163" s="253"/>
      <c r="AL163" s="253"/>
      <c r="AM163" s="253"/>
      <c r="AN163" s="253"/>
      <c r="AO163" s="253"/>
      <c r="AP163" s="253"/>
      <c r="AQ163" s="253"/>
    </row>
    <row r="164" spans="1:43" s="255" customFormat="1" x14ac:dyDescent="0.2">
      <c r="A164" s="253"/>
      <c r="B164" s="254"/>
      <c r="C164" s="253"/>
      <c r="D164" s="253"/>
      <c r="E164" s="253"/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</row>
    <row r="165" spans="1:43" s="255" customFormat="1" x14ac:dyDescent="0.2">
      <c r="A165" s="253"/>
      <c r="B165" s="254"/>
      <c r="C165" s="253"/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</row>
    <row r="166" spans="1:43" s="255" customFormat="1" x14ac:dyDescent="0.2">
      <c r="A166" s="253"/>
      <c r="B166" s="254"/>
      <c r="C166" s="253"/>
      <c r="D166" s="253"/>
      <c r="E166" s="253"/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</row>
    <row r="167" spans="1:43" s="255" customFormat="1" x14ac:dyDescent="0.2">
      <c r="A167" s="253"/>
      <c r="B167" s="254"/>
      <c r="C167" s="253"/>
      <c r="D167" s="253"/>
      <c r="E167" s="253"/>
      <c r="F167" s="253"/>
      <c r="G167" s="253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  <c r="AA167" s="253"/>
      <c r="AB167" s="253"/>
      <c r="AC167" s="253"/>
      <c r="AD167" s="253"/>
      <c r="AE167" s="253"/>
      <c r="AF167" s="253"/>
      <c r="AG167" s="253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</row>
    <row r="168" spans="1:43" s="255" customFormat="1" x14ac:dyDescent="0.2">
      <c r="A168" s="253"/>
      <c r="B168" s="254"/>
      <c r="C168" s="253"/>
      <c r="D168" s="253"/>
      <c r="E168" s="253"/>
      <c r="F168" s="253"/>
      <c r="G168" s="253"/>
      <c r="H168" s="253"/>
      <c r="I168" s="253"/>
      <c r="J168" s="253"/>
      <c r="K168" s="253"/>
      <c r="L168" s="253"/>
      <c r="M168" s="253"/>
      <c r="N168" s="253"/>
      <c r="O168" s="253"/>
      <c r="P168" s="253"/>
      <c r="Q168" s="253"/>
      <c r="R168" s="253"/>
      <c r="S168" s="253"/>
      <c r="T168" s="253"/>
      <c r="U168" s="253"/>
      <c r="V168" s="253"/>
      <c r="W168" s="253"/>
      <c r="X168" s="253"/>
      <c r="Y168" s="253"/>
      <c r="Z168" s="253"/>
      <c r="AA168" s="253"/>
      <c r="AB168" s="253"/>
      <c r="AC168" s="253"/>
      <c r="AD168" s="253"/>
      <c r="AE168" s="253"/>
      <c r="AF168" s="253"/>
      <c r="AG168" s="253"/>
      <c r="AH168" s="253"/>
      <c r="AI168" s="253"/>
      <c r="AJ168" s="253"/>
      <c r="AK168" s="253"/>
      <c r="AL168" s="253"/>
      <c r="AM168" s="253"/>
      <c r="AN168" s="253"/>
      <c r="AO168" s="253"/>
      <c r="AP168" s="253"/>
      <c r="AQ168" s="253"/>
    </row>
    <row r="169" spans="1:43" s="255" customFormat="1" x14ac:dyDescent="0.2">
      <c r="A169" s="253"/>
      <c r="B169" s="254"/>
      <c r="C169" s="253"/>
      <c r="D169" s="253"/>
      <c r="E169" s="253"/>
      <c r="F169" s="253"/>
      <c r="G169" s="253"/>
      <c r="H169" s="253"/>
      <c r="I169" s="253"/>
      <c r="J169" s="253"/>
      <c r="K169" s="253"/>
      <c r="L169" s="253"/>
      <c r="M169" s="253"/>
      <c r="N169" s="253"/>
      <c r="O169" s="253"/>
      <c r="P169" s="253"/>
      <c r="Q169" s="253"/>
      <c r="R169" s="253"/>
      <c r="S169" s="253"/>
      <c r="T169" s="253"/>
      <c r="U169" s="253"/>
      <c r="V169" s="253"/>
      <c r="W169" s="253"/>
      <c r="X169" s="253"/>
      <c r="Y169" s="253"/>
      <c r="Z169" s="253"/>
      <c r="AA169" s="253"/>
      <c r="AB169" s="253"/>
      <c r="AC169" s="253"/>
      <c r="AD169" s="253"/>
      <c r="AE169" s="253"/>
      <c r="AF169" s="253"/>
      <c r="AG169" s="253"/>
      <c r="AH169" s="253"/>
      <c r="AI169" s="253"/>
      <c r="AJ169" s="253"/>
      <c r="AK169" s="253"/>
      <c r="AL169" s="253"/>
      <c r="AM169" s="253"/>
      <c r="AN169" s="253"/>
      <c r="AO169" s="253"/>
      <c r="AP169" s="253"/>
      <c r="AQ169" s="253"/>
    </row>
    <row r="170" spans="1:43" s="255" customFormat="1" x14ac:dyDescent="0.2">
      <c r="A170" s="253"/>
      <c r="B170" s="254"/>
      <c r="C170" s="253"/>
      <c r="D170" s="253"/>
      <c r="E170" s="253"/>
      <c r="F170" s="253"/>
      <c r="G170" s="253"/>
      <c r="H170" s="253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  <c r="AB170" s="253"/>
      <c r="AC170" s="253"/>
      <c r="AD170" s="253"/>
      <c r="AE170" s="253"/>
      <c r="AF170" s="253"/>
      <c r="AG170" s="253"/>
      <c r="AH170" s="253"/>
      <c r="AI170" s="253"/>
      <c r="AJ170" s="253"/>
      <c r="AK170" s="253"/>
      <c r="AL170" s="253"/>
      <c r="AM170" s="253"/>
      <c r="AN170" s="253"/>
      <c r="AO170" s="253"/>
      <c r="AP170" s="253"/>
      <c r="AQ170" s="253"/>
    </row>
    <row r="171" spans="1:43" s="255" customFormat="1" x14ac:dyDescent="0.2">
      <c r="A171" s="253"/>
      <c r="B171" s="254"/>
      <c r="C171" s="253"/>
      <c r="D171" s="253"/>
      <c r="E171" s="253"/>
      <c r="F171" s="253"/>
      <c r="G171" s="253"/>
      <c r="H171" s="253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3"/>
      <c r="AC171" s="253"/>
      <c r="AD171" s="253"/>
      <c r="AE171" s="253"/>
      <c r="AF171" s="253"/>
      <c r="AG171" s="253"/>
      <c r="AH171" s="253"/>
      <c r="AI171" s="253"/>
      <c r="AJ171" s="253"/>
      <c r="AK171" s="253"/>
      <c r="AL171" s="253"/>
      <c r="AM171" s="253"/>
      <c r="AN171" s="253"/>
      <c r="AO171" s="253"/>
      <c r="AP171" s="253"/>
      <c r="AQ171" s="253"/>
    </row>
    <row r="172" spans="1:43" s="255" customFormat="1" x14ac:dyDescent="0.2">
      <c r="A172" s="253"/>
      <c r="B172" s="254"/>
      <c r="C172" s="253"/>
      <c r="D172" s="253"/>
      <c r="E172" s="253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3"/>
      <c r="AC172" s="253"/>
      <c r="AD172" s="253"/>
      <c r="AE172" s="253"/>
      <c r="AF172" s="253"/>
      <c r="AG172" s="253"/>
      <c r="AH172" s="253"/>
      <c r="AI172" s="253"/>
      <c r="AJ172" s="253"/>
      <c r="AK172" s="253"/>
      <c r="AL172" s="253"/>
      <c r="AM172" s="253"/>
      <c r="AN172" s="253"/>
      <c r="AO172" s="253"/>
      <c r="AP172" s="253"/>
      <c r="AQ172" s="253"/>
    </row>
    <row r="173" spans="1:43" s="255" customFormat="1" x14ac:dyDescent="0.2">
      <c r="A173" s="253"/>
      <c r="B173" s="254"/>
      <c r="C173" s="253"/>
      <c r="D173" s="253"/>
      <c r="E173" s="253"/>
      <c r="F173" s="253"/>
      <c r="G173" s="253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  <c r="AB173" s="253"/>
      <c r="AC173" s="253"/>
      <c r="AD173" s="253"/>
      <c r="AE173" s="253"/>
      <c r="AF173" s="253"/>
      <c r="AG173" s="253"/>
      <c r="AH173" s="253"/>
      <c r="AI173" s="253"/>
      <c r="AJ173" s="253"/>
      <c r="AK173" s="253"/>
      <c r="AL173" s="253"/>
      <c r="AM173" s="253"/>
      <c r="AN173" s="253"/>
      <c r="AO173" s="253"/>
      <c r="AP173" s="253"/>
      <c r="AQ173" s="253"/>
    </row>
    <row r="174" spans="1:43" s="255" customFormat="1" x14ac:dyDescent="0.2">
      <c r="A174" s="253"/>
      <c r="B174" s="254"/>
      <c r="C174" s="253"/>
      <c r="D174" s="253"/>
      <c r="E174" s="253"/>
      <c r="F174" s="253"/>
      <c r="G174" s="253"/>
      <c r="H174" s="253"/>
      <c r="I174" s="253"/>
      <c r="J174" s="253"/>
      <c r="K174" s="253"/>
      <c r="L174" s="253"/>
      <c r="M174" s="253"/>
      <c r="N174" s="253"/>
      <c r="O174" s="253"/>
      <c r="P174" s="253"/>
      <c r="Q174" s="253"/>
      <c r="R174" s="253"/>
      <c r="S174" s="253"/>
      <c r="T174" s="253"/>
      <c r="U174" s="253"/>
      <c r="V174" s="253"/>
      <c r="W174" s="253"/>
      <c r="X174" s="253"/>
      <c r="Y174" s="253"/>
      <c r="Z174" s="253"/>
      <c r="AA174" s="253"/>
      <c r="AB174" s="253"/>
      <c r="AC174" s="253"/>
      <c r="AD174" s="253"/>
      <c r="AE174" s="253"/>
      <c r="AF174" s="253"/>
      <c r="AG174" s="253"/>
      <c r="AH174" s="253"/>
      <c r="AI174" s="253"/>
      <c r="AJ174" s="253"/>
      <c r="AK174" s="253"/>
      <c r="AL174" s="253"/>
      <c r="AM174" s="253"/>
      <c r="AN174" s="253"/>
      <c r="AO174" s="253"/>
      <c r="AP174" s="253"/>
      <c r="AQ174" s="253"/>
    </row>
    <row r="175" spans="1:43" s="255" customFormat="1" x14ac:dyDescent="0.2">
      <c r="A175" s="253"/>
      <c r="B175" s="254"/>
      <c r="C175" s="253"/>
      <c r="D175" s="253"/>
      <c r="E175" s="253"/>
      <c r="F175" s="253"/>
      <c r="G175" s="253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  <c r="AA175" s="253"/>
      <c r="AB175" s="253"/>
      <c r="AC175" s="253"/>
      <c r="AD175" s="253"/>
      <c r="AE175" s="253"/>
      <c r="AF175" s="253"/>
      <c r="AG175" s="253"/>
      <c r="AH175" s="253"/>
      <c r="AI175" s="253"/>
      <c r="AJ175" s="253"/>
      <c r="AK175" s="253"/>
      <c r="AL175" s="253"/>
      <c r="AM175" s="253"/>
      <c r="AN175" s="253"/>
      <c r="AO175" s="253"/>
      <c r="AP175" s="253"/>
      <c r="AQ175" s="253"/>
    </row>
    <row r="176" spans="1:43" s="255" customFormat="1" x14ac:dyDescent="0.2">
      <c r="A176" s="253"/>
      <c r="B176" s="254"/>
      <c r="C176" s="253"/>
      <c r="D176" s="253"/>
      <c r="E176" s="253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  <c r="AA176" s="253"/>
      <c r="AB176" s="253"/>
      <c r="AC176" s="253"/>
      <c r="AD176" s="253"/>
      <c r="AE176" s="253"/>
      <c r="AF176" s="253"/>
      <c r="AG176" s="253"/>
      <c r="AH176" s="253"/>
      <c r="AI176" s="253"/>
      <c r="AJ176" s="253"/>
      <c r="AK176" s="253"/>
      <c r="AL176" s="253"/>
      <c r="AM176" s="253"/>
      <c r="AN176" s="253"/>
      <c r="AO176" s="253"/>
      <c r="AP176" s="253"/>
      <c r="AQ176" s="253"/>
    </row>
    <row r="177" spans="1:43" s="255" customFormat="1" x14ac:dyDescent="0.2">
      <c r="A177" s="253"/>
      <c r="B177" s="254"/>
      <c r="C177" s="253"/>
      <c r="D177" s="253"/>
      <c r="E177" s="253"/>
      <c r="F177" s="253"/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  <c r="AA177" s="253"/>
      <c r="AB177" s="253"/>
      <c r="AC177" s="253"/>
      <c r="AD177" s="253"/>
      <c r="AE177" s="253"/>
      <c r="AF177" s="253"/>
      <c r="AG177" s="253"/>
      <c r="AH177" s="253"/>
      <c r="AI177" s="253"/>
      <c r="AJ177" s="253"/>
      <c r="AK177" s="253"/>
      <c r="AL177" s="253"/>
      <c r="AM177" s="253"/>
      <c r="AN177" s="253"/>
      <c r="AO177" s="253"/>
      <c r="AP177" s="253"/>
      <c r="AQ177" s="253"/>
    </row>
    <row r="178" spans="1:43" s="255" customFormat="1" x14ac:dyDescent="0.2">
      <c r="A178" s="253"/>
      <c r="B178" s="254"/>
      <c r="C178" s="253"/>
      <c r="D178" s="253"/>
      <c r="E178" s="253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  <c r="AA178" s="253"/>
      <c r="AB178" s="253"/>
      <c r="AC178" s="253"/>
      <c r="AD178" s="253"/>
      <c r="AE178" s="253"/>
      <c r="AF178" s="253"/>
      <c r="AG178" s="253"/>
      <c r="AH178" s="253"/>
      <c r="AI178" s="253"/>
      <c r="AJ178" s="253"/>
      <c r="AK178" s="253"/>
      <c r="AL178" s="253"/>
      <c r="AM178" s="253"/>
      <c r="AN178" s="253"/>
      <c r="AO178" s="253"/>
      <c r="AP178" s="253"/>
      <c r="AQ178" s="253"/>
    </row>
    <row r="179" spans="1:43" s="255" customFormat="1" x14ac:dyDescent="0.2">
      <c r="A179" s="253"/>
      <c r="B179" s="254"/>
      <c r="C179" s="253"/>
      <c r="D179" s="253"/>
      <c r="E179" s="253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</row>
    <row r="180" spans="1:43" s="255" customFormat="1" x14ac:dyDescent="0.2">
      <c r="A180" s="253"/>
      <c r="B180" s="254"/>
      <c r="C180" s="253"/>
      <c r="D180" s="253"/>
      <c r="E180" s="253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3"/>
      <c r="AC180" s="253"/>
      <c r="AD180" s="253"/>
      <c r="AE180" s="253"/>
      <c r="AF180" s="253"/>
      <c r="AG180" s="253"/>
      <c r="AH180" s="253"/>
      <c r="AI180" s="253"/>
      <c r="AJ180" s="253"/>
      <c r="AK180" s="253"/>
      <c r="AL180" s="253"/>
      <c r="AM180" s="253"/>
      <c r="AN180" s="253"/>
      <c r="AO180" s="253"/>
      <c r="AP180" s="253"/>
      <c r="AQ180" s="253"/>
    </row>
    <row r="181" spans="1:43" s="255" customFormat="1" x14ac:dyDescent="0.2">
      <c r="A181" s="253"/>
      <c r="B181" s="254"/>
      <c r="C181" s="253"/>
      <c r="D181" s="253"/>
      <c r="E181" s="253"/>
      <c r="F181" s="253"/>
      <c r="G181" s="253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3"/>
      <c r="AC181" s="253"/>
      <c r="AD181" s="253"/>
      <c r="AE181" s="253"/>
      <c r="AF181" s="253"/>
      <c r="AG181" s="253"/>
      <c r="AH181" s="253"/>
      <c r="AI181" s="253"/>
      <c r="AJ181" s="253"/>
      <c r="AK181" s="253"/>
      <c r="AL181" s="253"/>
      <c r="AM181" s="253"/>
      <c r="AN181" s="253"/>
      <c r="AO181" s="253"/>
      <c r="AP181" s="253"/>
      <c r="AQ181" s="253"/>
    </row>
    <row r="182" spans="1:43" s="255" customFormat="1" x14ac:dyDescent="0.2">
      <c r="A182" s="253"/>
      <c r="B182" s="254"/>
      <c r="C182" s="253"/>
      <c r="D182" s="253"/>
      <c r="E182" s="253"/>
      <c r="F182" s="253"/>
      <c r="G182" s="253"/>
      <c r="H182" s="253"/>
      <c r="I182" s="253"/>
      <c r="J182" s="253"/>
      <c r="K182" s="253"/>
      <c r="L182" s="253"/>
      <c r="M182" s="253"/>
      <c r="N182" s="253"/>
      <c r="O182" s="253"/>
      <c r="P182" s="253"/>
      <c r="Q182" s="253"/>
      <c r="R182" s="253"/>
      <c r="S182" s="253"/>
      <c r="T182" s="253"/>
      <c r="U182" s="253"/>
      <c r="V182" s="253"/>
      <c r="W182" s="253"/>
      <c r="X182" s="253"/>
      <c r="Y182" s="253"/>
      <c r="Z182" s="253"/>
      <c r="AA182" s="253"/>
      <c r="AB182" s="253"/>
      <c r="AC182" s="253"/>
      <c r="AD182" s="253"/>
      <c r="AE182" s="253"/>
      <c r="AF182" s="253"/>
      <c r="AG182" s="253"/>
      <c r="AH182" s="253"/>
      <c r="AI182" s="253"/>
      <c r="AJ182" s="253"/>
      <c r="AK182" s="253"/>
      <c r="AL182" s="253"/>
      <c r="AM182" s="253"/>
      <c r="AN182" s="253"/>
      <c r="AO182" s="253"/>
      <c r="AP182" s="253"/>
      <c r="AQ182" s="253"/>
    </row>
    <row r="183" spans="1:43" s="255" customFormat="1" x14ac:dyDescent="0.2">
      <c r="A183" s="253"/>
      <c r="B183" s="254"/>
      <c r="C183" s="253"/>
      <c r="D183" s="253"/>
      <c r="E183" s="253"/>
      <c r="F183" s="253"/>
      <c r="G183" s="253"/>
      <c r="H183" s="253"/>
      <c r="I183" s="253"/>
      <c r="J183" s="253"/>
      <c r="K183" s="253"/>
      <c r="L183" s="253"/>
      <c r="M183" s="253"/>
      <c r="N183" s="253"/>
      <c r="O183" s="253"/>
      <c r="P183" s="253"/>
      <c r="Q183" s="253"/>
      <c r="R183" s="253"/>
      <c r="S183" s="253"/>
      <c r="T183" s="253"/>
      <c r="U183" s="253"/>
      <c r="V183" s="253"/>
      <c r="W183" s="253"/>
      <c r="X183" s="253"/>
      <c r="Y183" s="253"/>
      <c r="Z183" s="253"/>
      <c r="AA183" s="253"/>
      <c r="AB183" s="253"/>
      <c r="AC183" s="253"/>
      <c r="AD183" s="253"/>
      <c r="AE183" s="253"/>
      <c r="AF183" s="253"/>
      <c r="AG183" s="253"/>
      <c r="AH183" s="253"/>
      <c r="AI183" s="253"/>
      <c r="AJ183" s="253"/>
      <c r="AK183" s="253"/>
      <c r="AL183" s="253"/>
      <c r="AM183" s="253"/>
      <c r="AN183" s="253"/>
      <c r="AO183" s="253"/>
      <c r="AP183" s="253"/>
      <c r="AQ183" s="253"/>
    </row>
    <row r="184" spans="1:43" s="255" customFormat="1" x14ac:dyDescent="0.2">
      <c r="A184" s="253"/>
      <c r="B184" s="254"/>
      <c r="C184" s="253"/>
      <c r="D184" s="253"/>
      <c r="E184" s="253"/>
      <c r="F184" s="253"/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3"/>
      <c r="AC184" s="253"/>
      <c r="AD184" s="253"/>
      <c r="AE184" s="253"/>
      <c r="AF184" s="253"/>
      <c r="AG184" s="253"/>
      <c r="AH184" s="253"/>
      <c r="AI184" s="253"/>
      <c r="AJ184" s="253"/>
      <c r="AK184" s="253"/>
      <c r="AL184" s="253"/>
      <c r="AM184" s="253"/>
      <c r="AN184" s="253"/>
      <c r="AO184" s="253"/>
      <c r="AP184" s="253"/>
      <c r="AQ184" s="253"/>
    </row>
    <row r="185" spans="1:43" s="255" customFormat="1" x14ac:dyDescent="0.2">
      <c r="A185" s="253"/>
      <c r="B185" s="254"/>
      <c r="C185" s="253"/>
      <c r="D185" s="253"/>
      <c r="E185" s="253"/>
      <c r="F185" s="253"/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3"/>
      <c r="AC185" s="253"/>
      <c r="AD185" s="253"/>
      <c r="AE185" s="253"/>
      <c r="AF185" s="253"/>
      <c r="AG185" s="253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</row>
    <row r="186" spans="1:43" s="255" customFormat="1" x14ac:dyDescent="0.2">
      <c r="A186" s="253"/>
      <c r="B186" s="254"/>
      <c r="C186" s="253"/>
      <c r="D186" s="253"/>
      <c r="E186" s="253"/>
      <c r="F186" s="253"/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  <c r="AB186" s="253"/>
      <c r="AC186" s="253"/>
      <c r="AD186" s="253"/>
      <c r="AE186" s="253"/>
      <c r="AF186" s="253"/>
      <c r="AG186" s="253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</row>
    <row r="187" spans="1:43" s="255" customFormat="1" x14ac:dyDescent="0.2">
      <c r="A187" s="253"/>
      <c r="B187" s="254"/>
      <c r="C187" s="253"/>
      <c r="D187" s="253"/>
      <c r="E187" s="253"/>
      <c r="F187" s="253"/>
      <c r="G187" s="253"/>
      <c r="H187" s="253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  <c r="AB187" s="253"/>
      <c r="AC187" s="253"/>
      <c r="AD187" s="253"/>
      <c r="AE187" s="253"/>
      <c r="AF187" s="253"/>
      <c r="AG187" s="253"/>
      <c r="AH187" s="253"/>
      <c r="AI187" s="253"/>
      <c r="AJ187" s="253"/>
      <c r="AK187" s="253"/>
      <c r="AL187" s="253"/>
      <c r="AM187" s="253"/>
      <c r="AN187" s="253"/>
      <c r="AO187" s="253"/>
      <c r="AP187" s="253"/>
      <c r="AQ187" s="253"/>
    </row>
    <row r="188" spans="1:43" s="255" customFormat="1" x14ac:dyDescent="0.2">
      <c r="A188" s="253"/>
      <c r="B188" s="254"/>
      <c r="C188" s="253"/>
      <c r="D188" s="253"/>
      <c r="E188" s="253"/>
      <c r="F188" s="253"/>
      <c r="G188" s="253"/>
      <c r="H188" s="253"/>
      <c r="I188" s="253"/>
      <c r="J188" s="253"/>
      <c r="K188" s="253"/>
      <c r="L188" s="253"/>
      <c r="M188" s="253"/>
      <c r="N188" s="253"/>
      <c r="O188" s="253"/>
      <c r="P188" s="253"/>
      <c r="Q188" s="253"/>
      <c r="R188" s="253"/>
      <c r="S188" s="253"/>
      <c r="T188" s="253"/>
      <c r="U188" s="253"/>
      <c r="V188" s="253"/>
      <c r="W188" s="253"/>
      <c r="X188" s="253"/>
      <c r="Y188" s="253"/>
      <c r="Z188" s="253"/>
      <c r="AA188" s="253"/>
      <c r="AB188" s="253"/>
      <c r="AC188" s="253"/>
      <c r="AD188" s="253"/>
      <c r="AE188" s="253"/>
      <c r="AF188" s="253"/>
      <c r="AG188" s="253"/>
      <c r="AH188" s="253"/>
      <c r="AI188" s="253"/>
      <c r="AJ188" s="253"/>
      <c r="AK188" s="253"/>
      <c r="AL188" s="253"/>
      <c r="AM188" s="253"/>
      <c r="AN188" s="253"/>
      <c r="AO188" s="253"/>
      <c r="AP188" s="253"/>
      <c r="AQ188" s="253"/>
    </row>
    <row r="189" spans="1:43" s="255" customFormat="1" x14ac:dyDescent="0.2">
      <c r="A189" s="253"/>
      <c r="B189" s="254"/>
      <c r="C189" s="253"/>
      <c r="D189" s="253"/>
      <c r="E189" s="253"/>
      <c r="F189" s="253"/>
      <c r="G189" s="253"/>
      <c r="H189" s="253"/>
      <c r="I189" s="253"/>
      <c r="J189" s="253"/>
      <c r="K189" s="253"/>
      <c r="L189" s="253"/>
      <c r="M189" s="253"/>
      <c r="N189" s="253"/>
      <c r="O189" s="253"/>
      <c r="P189" s="253"/>
      <c r="Q189" s="253"/>
      <c r="R189" s="253"/>
      <c r="S189" s="253"/>
      <c r="T189" s="253"/>
      <c r="U189" s="253"/>
      <c r="V189" s="253"/>
      <c r="W189" s="253"/>
      <c r="X189" s="253"/>
      <c r="Y189" s="253"/>
      <c r="Z189" s="253"/>
      <c r="AA189" s="253"/>
      <c r="AB189" s="253"/>
      <c r="AC189" s="253"/>
      <c r="AD189" s="253"/>
      <c r="AE189" s="253"/>
      <c r="AF189" s="253"/>
      <c r="AG189" s="253"/>
      <c r="AH189" s="253"/>
      <c r="AI189" s="253"/>
      <c r="AJ189" s="253"/>
      <c r="AK189" s="253"/>
      <c r="AL189" s="253"/>
      <c r="AM189" s="253"/>
      <c r="AN189" s="253"/>
      <c r="AO189" s="253"/>
      <c r="AP189" s="253"/>
      <c r="AQ189" s="253"/>
    </row>
    <row r="190" spans="1:43" s="255" customFormat="1" x14ac:dyDescent="0.2">
      <c r="A190" s="253"/>
      <c r="B190" s="254"/>
      <c r="C190" s="253"/>
      <c r="D190" s="253"/>
      <c r="E190" s="253"/>
      <c r="F190" s="253"/>
      <c r="G190" s="253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  <c r="AB190" s="253"/>
      <c r="AC190" s="253"/>
      <c r="AD190" s="253"/>
      <c r="AE190" s="253"/>
      <c r="AF190" s="253"/>
      <c r="AG190" s="253"/>
      <c r="AH190" s="253"/>
      <c r="AI190" s="253"/>
      <c r="AJ190" s="253"/>
      <c r="AK190" s="253"/>
      <c r="AL190" s="253"/>
      <c r="AM190" s="253"/>
      <c r="AN190" s="253"/>
      <c r="AO190" s="253"/>
      <c r="AP190" s="253"/>
      <c r="AQ190" s="253"/>
    </row>
    <row r="191" spans="1:43" s="255" customFormat="1" x14ac:dyDescent="0.2">
      <c r="A191" s="253"/>
      <c r="B191" s="254"/>
      <c r="C191" s="253"/>
      <c r="D191" s="253"/>
      <c r="E191" s="253"/>
      <c r="F191" s="253"/>
      <c r="G191" s="253"/>
      <c r="H191" s="253"/>
      <c r="I191" s="253"/>
      <c r="J191" s="253"/>
      <c r="K191" s="253"/>
      <c r="L191" s="253"/>
      <c r="M191" s="253"/>
      <c r="N191" s="253"/>
      <c r="O191" s="253"/>
      <c r="P191" s="253"/>
      <c r="Q191" s="253"/>
      <c r="R191" s="253"/>
      <c r="S191" s="253"/>
      <c r="T191" s="253"/>
      <c r="U191" s="253"/>
      <c r="V191" s="253"/>
      <c r="W191" s="253"/>
      <c r="X191" s="253"/>
      <c r="Y191" s="253"/>
      <c r="Z191" s="253"/>
      <c r="AA191" s="253"/>
      <c r="AB191" s="253"/>
      <c r="AC191" s="253"/>
      <c r="AD191" s="253"/>
      <c r="AE191" s="253"/>
      <c r="AF191" s="253"/>
      <c r="AG191" s="253"/>
      <c r="AH191" s="253"/>
      <c r="AI191" s="253"/>
      <c r="AJ191" s="253"/>
      <c r="AK191" s="253"/>
      <c r="AL191" s="253"/>
      <c r="AM191" s="253"/>
      <c r="AN191" s="253"/>
      <c r="AO191" s="253"/>
      <c r="AP191" s="253"/>
      <c r="AQ191" s="253"/>
    </row>
    <row r="192" spans="1:43" s="255" customFormat="1" x14ac:dyDescent="0.2">
      <c r="A192" s="253"/>
      <c r="B192" s="254"/>
      <c r="C192" s="253"/>
      <c r="D192" s="253"/>
      <c r="E192" s="253"/>
      <c r="F192" s="253"/>
      <c r="G192" s="253"/>
      <c r="H192" s="253"/>
      <c r="I192" s="253"/>
      <c r="J192" s="253"/>
      <c r="K192" s="253"/>
      <c r="L192" s="253"/>
      <c r="M192" s="253"/>
      <c r="N192" s="253"/>
      <c r="O192" s="253"/>
      <c r="P192" s="253"/>
      <c r="Q192" s="253"/>
      <c r="R192" s="253"/>
      <c r="S192" s="253"/>
      <c r="T192" s="253"/>
      <c r="U192" s="253"/>
      <c r="V192" s="253"/>
      <c r="W192" s="253"/>
      <c r="X192" s="253"/>
      <c r="Y192" s="253"/>
      <c r="Z192" s="253"/>
      <c r="AA192" s="253"/>
      <c r="AB192" s="253"/>
      <c r="AC192" s="253"/>
      <c r="AD192" s="253"/>
      <c r="AE192" s="253"/>
      <c r="AF192" s="253"/>
      <c r="AG192" s="253"/>
      <c r="AH192" s="253"/>
      <c r="AI192" s="253"/>
      <c r="AJ192" s="253"/>
      <c r="AK192" s="253"/>
      <c r="AL192" s="253"/>
      <c r="AM192" s="253"/>
      <c r="AN192" s="253"/>
      <c r="AO192" s="253"/>
      <c r="AP192" s="253"/>
      <c r="AQ192" s="253"/>
    </row>
    <row r="193" spans="1:43" s="255" customFormat="1" x14ac:dyDescent="0.2">
      <c r="A193" s="253"/>
      <c r="B193" s="254"/>
      <c r="C193" s="253"/>
      <c r="D193" s="253"/>
      <c r="E193" s="253"/>
      <c r="F193" s="253"/>
      <c r="G193" s="253"/>
      <c r="H193" s="253"/>
      <c r="I193" s="253"/>
      <c r="J193" s="253"/>
      <c r="K193" s="253"/>
      <c r="L193" s="25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  <c r="AA193" s="253"/>
      <c r="AB193" s="253"/>
      <c r="AC193" s="253"/>
      <c r="AD193" s="253"/>
      <c r="AE193" s="253"/>
      <c r="AF193" s="253"/>
      <c r="AG193" s="253"/>
      <c r="AH193" s="253"/>
      <c r="AI193" s="253"/>
      <c r="AJ193" s="253"/>
      <c r="AK193" s="253"/>
      <c r="AL193" s="253"/>
      <c r="AM193" s="253"/>
      <c r="AN193" s="253"/>
      <c r="AO193" s="253"/>
      <c r="AP193" s="253"/>
      <c r="AQ193" s="253"/>
    </row>
    <row r="194" spans="1:43" s="255" customFormat="1" x14ac:dyDescent="0.2">
      <c r="A194" s="253"/>
      <c r="B194" s="254"/>
      <c r="C194" s="253"/>
      <c r="D194" s="253"/>
      <c r="E194" s="253"/>
      <c r="F194" s="253"/>
      <c r="G194" s="253"/>
      <c r="H194" s="253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  <c r="AA194" s="253"/>
      <c r="AB194" s="253"/>
      <c r="AC194" s="253"/>
      <c r="AD194" s="253"/>
      <c r="AE194" s="253"/>
      <c r="AF194" s="253"/>
      <c r="AG194" s="253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</row>
    <row r="195" spans="1:43" s="255" customFormat="1" x14ac:dyDescent="0.2">
      <c r="A195" s="253"/>
      <c r="B195" s="254"/>
      <c r="C195" s="253"/>
      <c r="D195" s="253"/>
      <c r="E195" s="253"/>
      <c r="F195" s="253"/>
      <c r="G195" s="253"/>
      <c r="H195" s="253"/>
      <c r="I195" s="253"/>
      <c r="J195" s="253"/>
      <c r="K195" s="253"/>
      <c r="L195" s="253"/>
      <c r="M195" s="253"/>
      <c r="N195" s="253"/>
      <c r="O195" s="253"/>
      <c r="P195" s="253"/>
      <c r="Q195" s="253"/>
      <c r="R195" s="253"/>
      <c r="S195" s="253"/>
      <c r="T195" s="253"/>
      <c r="U195" s="253"/>
      <c r="V195" s="253"/>
      <c r="W195" s="253"/>
      <c r="X195" s="253"/>
      <c r="Y195" s="253"/>
      <c r="Z195" s="253"/>
      <c r="AA195" s="253"/>
      <c r="AB195" s="253"/>
      <c r="AC195" s="253"/>
      <c r="AD195" s="253"/>
      <c r="AE195" s="253"/>
      <c r="AF195" s="253"/>
      <c r="AG195" s="253"/>
      <c r="AH195" s="253"/>
      <c r="AI195" s="253"/>
      <c r="AJ195" s="253"/>
      <c r="AK195" s="253"/>
      <c r="AL195" s="253"/>
      <c r="AM195" s="253"/>
      <c r="AN195" s="253"/>
      <c r="AO195" s="253"/>
      <c r="AP195" s="253"/>
      <c r="AQ195" s="253"/>
    </row>
    <row r="196" spans="1:43" s="255" customFormat="1" x14ac:dyDescent="0.2">
      <c r="A196" s="253"/>
      <c r="B196" s="254"/>
      <c r="C196" s="253"/>
      <c r="D196" s="253"/>
      <c r="E196" s="253"/>
      <c r="F196" s="253"/>
      <c r="G196" s="253"/>
      <c r="H196" s="253"/>
      <c r="I196" s="253"/>
      <c r="J196" s="253"/>
      <c r="K196" s="253"/>
      <c r="L196" s="253"/>
      <c r="M196" s="253"/>
      <c r="N196" s="253"/>
      <c r="O196" s="253"/>
      <c r="P196" s="253"/>
      <c r="Q196" s="253"/>
      <c r="R196" s="253"/>
      <c r="S196" s="253"/>
      <c r="T196" s="253"/>
      <c r="U196" s="253"/>
      <c r="V196" s="253"/>
      <c r="W196" s="253"/>
      <c r="X196" s="253"/>
      <c r="Y196" s="253"/>
      <c r="Z196" s="253"/>
      <c r="AA196" s="253"/>
      <c r="AB196" s="253"/>
      <c r="AC196" s="253"/>
      <c r="AD196" s="253"/>
      <c r="AE196" s="253"/>
      <c r="AF196" s="253"/>
      <c r="AG196" s="253"/>
      <c r="AH196" s="253"/>
      <c r="AI196" s="253"/>
      <c r="AJ196" s="253"/>
      <c r="AK196" s="253"/>
      <c r="AL196" s="253"/>
      <c r="AM196" s="253"/>
      <c r="AN196" s="253"/>
      <c r="AO196" s="253"/>
      <c r="AP196" s="253"/>
      <c r="AQ196" s="253"/>
    </row>
    <row r="197" spans="1:43" s="255" customFormat="1" x14ac:dyDescent="0.2">
      <c r="A197" s="253"/>
      <c r="B197" s="254"/>
      <c r="C197" s="253"/>
      <c r="D197" s="253"/>
      <c r="E197" s="253"/>
      <c r="F197" s="253"/>
      <c r="G197" s="253"/>
      <c r="H197" s="253"/>
      <c r="I197" s="253"/>
      <c r="J197" s="253"/>
      <c r="K197" s="253"/>
      <c r="L197" s="253"/>
      <c r="M197" s="253"/>
      <c r="N197" s="253"/>
      <c r="O197" s="253"/>
      <c r="P197" s="253"/>
      <c r="Q197" s="253"/>
      <c r="R197" s="253"/>
      <c r="S197" s="253"/>
      <c r="T197" s="253"/>
      <c r="U197" s="253"/>
      <c r="V197" s="253"/>
      <c r="W197" s="253"/>
      <c r="X197" s="253"/>
      <c r="Y197" s="253"/>
      <c r="Z197" s="253"/>
      <c r="AA197" s="253"/>
      <c r="AB197" s="253"/>
      <c r="AC197" s="253"/>
      <c r="AD197" s="253"/>
      <c r="AE197" s="253"/>
      <c r="AF197" s="253"/>
      <c r="AG197" s="253"/>
      <c r="AH197" s="253"/>
      <c r="AI197" s="253"/>
      <c r="AJ197" s="253"/>
      <c r="AK197" s="253"/>
      <c r="AL197" s="253"/>
      <c r="AM197" s="253"/>
      <c r="AN197" s="253"/>
      <c r="AO197" s="253"/>
      <c r="AP197" s="253"/>
      <c r="AQ197" s="253"/>
    </row>
    <row r="198" spans="1:43" s="255" customFormat="1" x14ac:dyDescent="0.2">
      <c r="A198" s="253"/>
      <c r="B198" s="254"/>
      <c r="C198" s="253"/>
      <c r="D198" s="253"/>
      <c r="E198" s="253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  <c r="Z198" s="253"/>
      <c r="AA198" s="253"/>
      <c r="AB198" s="253"/>
      <c r="AC198" s="253"/>
      <c r="AD198" s="253"/>
      <c r="AE198" s="253"/>
      <c r="AF198" s="253"/>
      <c r="AG198" s="253"/>
      <c r="AH198" s="253"/>
      <c r="AI198" s="253"/>
      <c r="AJ198" s="253"/>
      <c r="AK198" s="253"/>
      <c r="AL198" s="253"/>
      <c r="AM198" s="253"/>
      <c r="AN198" s="253"/>
      <c r="AO198" s="253"/>
      <c r="AP198" s="253"/>
      <c r="AQ198" s="253"/>
    </row>
    <row r="199" spans="1:43" s="255" customFormat="1" x14ac:dyDescent="0.2">
      <c r="A199" s="253"/>
      <c r="B199" s="254"/>
      <c r="C199" s="253"/>
      <c r="D199" s="253"/>
      <c r="E199" s="253"/>
      <c r="F199" s="253"/>
      <c r="G199" s="253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  <c r="AA199" s="253"/>
      <c r="AB199" s="253"/>
      <c r="AC199" s="253"/>
      <c r="AD199" s="253"/>
      <c r="AE199" s="253"/>
      <c r="AF199" s="253"/>
      <c r="AG199" s="253"/>
      <c r="AH199" s="253"/>
      <c r="AI199" s="253"/>
      <c r="AJ199" s="253"/>
      <c r="AK199" s="253"/>
      <c r="AL199" s="253"/>
      <c r="AM199" s="253"/>
      <c r="AN199" s="253"/>
      <c r="AO199" s="253"/>
      <c r="AP199" s="253"/>
      <c r="AQ199" s="253"/>
    </row>
    <row r="200" spans="1:43" s="255" customFormat="1" x14ac:dyDescent="0.2">
      <c r="A200" s="253"/>
      <c r="B200" s="254"/>
      <c r="C200" s="253"/>
      <c r="D200" s="253"/>
      <c r="E200" s="253"/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3"/>
      <c r="AB200" s="253"/>
      <c r="AC200" s="253"/>
      <c r="AD200" s="253"/>
      <c r="AE200" s="253"/>
      <c r="AF200" s="253"/>
      <c r="AG200" s="253"/>
      <c r="AH200" s="253"/>
      <c r="AI200" s="253"/>
      <c r="AJ200" s="253"/>
      <c r="AK200" s="253"/>
      <c r="AL200" s="253"/>
      <c r="AM200" s="253"/>
      <c r="AN200" s="253"/>
      <c r="AO200" s="253"/>
      <c r="AP200" s="253"/>
      <c r="AQ200" s="253"/>
    </row>
    <row r="201" spans="1:43" s="255" customFormat="1" x14ac:dyDescent="0.2">
      <c r="A201" s="253"/>
      <c r="B201" s="254"/>
      <c r="C201" s="253"/>
      <c r="D201" s="253"/>
      <c r="E201" s="253"/>
      <c r="F201" s="253"/>
      <c r="G201" s="253"/>
      <c r="H201" s="253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  <c r="AA201" s="253"/>
      <c r="AB201" s="253"/>
      <c r="AC201" s="253"/>
      <c r="AD201" s="253"/>
      <c r="AE201" s="253"/>
      <c r="AF201" s="253"/>
      <c r="AG201" s="253"/>
      <c r="AH201" s="253"/>
      <c r="AI201" s="253"/>
      <c r="AJ201" s="253"/>
      <c r="AK201" s="253"/>
      <c r="AL201" s="253"/>
      <c r="AM201" s="253"/>
      <c r="AN201" s="253"/>
      <c r="AO201" s="253"/>
      <c r="AP201" s="253"/>
      <c r="AQ201" s="253"/>
    </row>
    <row r="202" spans="1:43" s="255" customFormat="1" x14ac:dyDescent="0.2">
      <c r="A202" s="253"/>
      <c r="B202" s="254"/>
      <c r="C202" s="253"/>
      <c r="D202" s="253"/>
      <c r="E202" s="253"/>
      <c r="F202" s="253"/>
      <c r="G202" s="253"/>
      <c r="H202" s="253"/>
      <c r="I202" s="253"/>
      <c r="J202" s="253"/>
      <c r="K202" s="253"/>
      <c r="L202" s="253"/>
      <c r="M202" s="253"/>
      <c r="N202" s="253"/>
      <c r="O202" s="253"/>
      <c r="P202" s="253"/>
      <c r="Q202" s="253"/>
      <c r="R202" s="253"/>
      <c r="S202" s="253"/>
      <c r="T202" s="253"/>
      <c r="U202" s="253"/>
      <c r="V202" s="253"/>
      <c r="W202" s="253"/>
      <c r="X202" s="253"/>
      <c r="Y202" s="253"/>
      <c r="Z202" s="253"/>
      <c r="AA202" s="253"/>
      <c r="AB202" s="253"/>
      <c r="AC202" s="253"/>
      <c r="AD202" s="253"/>
      <c r="AE202" s="253"/>
      <c r="AF202" s="253"/>
      <c r="AG202" s="253"/>
      <c r="AH202" s="253"/>
      <c r="AI202" s="253"/>
      <c r="AJ202" s="253"/>
      <c r="AK202" s="253"/>
      <c r="AL202" s="253"/>
      <c r="AM202" s="253"/>
      <c r="AN202" s="253"/>
      <c r="AO202" s="253"/>
      <c r="AP202" s="253"/>
      <c r="AQ202" s="253"/>
    </row>
    <row r="203" spans="1:43" s="255" customFormat="1" x14ac:dyDescent="0.2">
      <c r="A203" s="253"/>
      <c r="B203" s="254"/>
      <c r="C203" s="253"/>
      <c r="D203" s="253"/>
      <c r="E203" s="253"/>
      <c r="F203" s="253"/>
      <c r="G203" s="253"/>
      <c r="H203" s="253"/>
      <c r="I203" s="253"/>
      <c r="J203" s="253"/>
      <c r="K203" s="253"/>
      <c r="L203" s="253"/>
      <c r="M203" s="253"/>
      <c r="N203" s="253"/>
      <c r="O203" s="253"/>
      <c r="P203" s="253"/>
      <c r="Q203" s="253"/>
      <c r="R203" s="253"/>
      <c r="S203" s="253"/>
      <c r="T203" s="253"/>
      <c r="U203" s="253"/>
      <c r="V203" s="253"/>
      <c r="W203" s="253"/>
      <c r="X203" s="253"/>
      <c r="Y203" s="253"/>
      <c r="Z203" s="253"/>
      <c r="AA203" s="253"/>
      <c r="AB203" s="253"/>
      <c r="AC203" s="253"/>
      <c r="AD203" s="253"/>
      <c r="AE203" s="253"/>
      <c r="AF203" s="253"/>
      <c r="AG203" s="253"/>
      <c r="AH203" s="253"/>
      <c r="AI203" s="253"/>
      <c r="AJ203" s="253"/>
      <c r="AK203" s="253"/>
      <c r="AL203" s="253"/>
      <c r="AM203" s="253"/>
      <c r="AN203" s="253"/>
      <c r="AO203" s="253"/>
      <c r="AP203" s="253"/>
      <c r="AQ203" s="253"/>
    </row>
    <row r="204" spans="1:43" s="255" customFormat="1" x14ac:dyDescent="0.2">
      <c r="A204" s="253"/>
      <c r="B204" s="254"/>
      <c r="C204" s="253"/>
      <c r="D204" s="253"/>
      <c r="E204" s="253"/>
      <c r="F204" s="253"/>
      <c r="G204" s="253"/>
      <c r="H204" s="253"/>
      <c r="I204" s="253"/>
      <c r="J204" s="253"/>
      <c r="K204" s="253"/>
      <c r="L204" s="253"/>
      <c r="M204" s="253"/>
      <c r="N204" s="253"/>
      <c r="O204" s="253"/>
      <c r="P204" s="253"/>
      <c r="Q204" s="253"/>
      <c r="R204" s="253"/>
      <c r="S204" s="253"/>
      <c r="T204" s="253"/>
      <c r="U204" s="253"/>
      <c r="V204" s="253"/>
      <c r="W204" s="253"/>
      <c r="X204" s="253"/>
      <c r="Y204" s="253"/>
      <c r="Z204" s="253"/>
      <c r="AA204" s="253"/>
      <c r="AB204" s="253"/>
      <c r="AC204" s="253"/>
      <c r="AD204" s="253"/>
      <c r="AE204" s="253"/>
      <c r="AF204" s="253"/>
      <c r="AG204" s="253"/>
      <c r="AH204" s="253"/>
      <c r="AI204" s="253"/>
      <c r="AJ204" s="253"/>
      <c r="AK204" s="253"/>
      <c r="AL204" s="253"/>
      <c r="AM204" s="253"/>
      <c r="AN204" s="253"/>
      <c r="AO204" s="253"/>
      <c r="AP204" s="253"/>
      <c r="AQ204" s="253"/>
    </row>
    <row r="205" spans="1:43" s="255" customFormat="1" x14ac:dyDescent="0.2">
      <c r="A205" s="253"/>
      <c r="B205" s="254"/>
      <c r="C205" s="253"/>
      <c r="D205" s="253"/>
      <c r="E205" s="253"/>
      <c r="F205" s="253"/>
      <c r="G205" s="253"/>
      <c r="H205" s="253"/>
      <c r="I205" s="253"/>
      <c r="J205" s="253"/>
      <c r="K205" s="253"/>
      <c r="L205" s="253"/>
      <c r="M205" s="253"/>
      <c r="N205" s="253"/>
      <c r="O205" s="253"/>
      <c r="P205" s="253"/>
      <c r="Q205" s="253"/>
      <c r="R205" s="253"/>
      <c r="S205" s="253"/>
      <c r="T205" s="253"/>
      <c r="U205" s="253"/>
      <c r="V205" s="253"/>
      <c r="W205" s="253"/>
      <c r="X205" s="253"/>
      <c r="Y205" s="253"/>
      <c r="Z205" s="253"/>
      <c r="AA205" s="253"/>
      <c r="AB205" s="253"/>
      <c r="AC205" s="253"/>
      <c r="AD205" s="253"/>
      <c r="AE205" s="253"/>
      <c r="AF205" s="253"/>
      <c r="AG205" s="253"/>
      <c r="AH205" s="253"/>
      <c r="AI205" s="253"/>
      <c r="AJ205" s="253"/>
      <c r="AK205" s="253"/>
      <c r="AL205" s="253"/>
      <c r="AM205" s="253"/>
      <c r="AN205" s="253"/>
      <c r="AO205" s="253"/>
      <c r="AP205" s="253"/>
      <c r="AQ205" s="253"/>
    </row>
    <row r="206" spans="1:43" s="255" customFormat="1" x14ac:dyDescent="0.2">
      <c r="A206" s="253"/>
      <c r="B206" s="254"/>
      <c r="C206" s="253"/>
      <c r="D206" s="253"/>
      <c r="E206" s="253"/>
      <c r="F206" s="253"/>
      <c r="G206" s="253"/>
      <c r="H206" s="253"/>
      <c r="I206" s="253"/>
      <c r="J206" s="253"/>
      <c r="K206" s="253"/>
      <c r="L206" s="253"/>
      <c r="M206" s="253"/>
      <c r="N206" s="253"/>
      <c r="O206" s="253"/>
      <c r="P206" s="253"/>
      <c r="Q206" s="253"/>
      <c r="R206" s="253"/>
      <c r="S206" s="253"/>
      <c r="T206" s="253"/>
      <c r="U206" s="253"/>
      <c r="V206" s="253"/>
      <c r="W206" s="253"/>
      <c r="X206" s="253"/>
      <c r="Y206" s="253"/>
      <c r="Z206" s="253"/>
      <c r="AA206" s="253"/>
      <c r="AB206" s="253"/>
      <c r="AC206" s="253"/>
      <c r="AD206" s="253"/>
      <c r="AE206" s="253"/>
      <c r="AF206" s="253"/>
      <c r="AG206" s="253"/>
      <c r="AH206" s="253"/>
      <c r="AI206" s="253"/>
      <c r="AJ206" s="253"/>
      <c r="AK206" s="253"/>
      <c r="AL206" s="253"/>
      <c r="AM206" s="253"/>
      <c r="AN206" s="253"/>
      <c r="AO206" s="253"/>
      <c r="AP206" s="253"/>
      <c r="AQ206" s="253"/>
    </row>
    <row r="207" spans="1:43" s="255" customFormat="1" x14ac:dyDescent="0.2">
      <c r="A207" s="253"/>
      <c r="B207" s="254"/>
      <c r="C207" s="253"/>
      <c r="D207" s="253"/>
      <c r="E207" s="253"/>
      <c r="F207" s="253"/>
      <c r="G207" s="253"/>
      <c r="H207" s="253"/>
      <c r="I207" s="253"/>
      <c r="J207" s="253"/>
      <c r="K207" s="253"/>
      <c r="L207" s="25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  <c r="Z207" s="253"/>
      <c r="AA207" s="253"/>
      <c r="AB207" s="253"/>
      <c r="AC207" s="253"/>
      <c r="AD207" s="253"/>
      <c r="AE207" s="253"/>
      <c r="AF207" s="253"/>
      <c r="AG207" s="253"/>
      <c r="AH207" s="253"/>
      <c r="AI207" s="253"/>
      <c r="AJ207" s="253"/>
      <c r="AK207" s="253"/>
      <c r="AL207" s="253"/>
      <c r="AM207" s="253"/>
      <c r="AN207" s="253"/>
      <c r="AO207" s="253"/>
      <c r="AP207" s="253"/>
      <c r="AQ207" s="253"/>
    </row>
    <row r="208" spans="1:43" s="255" customFormat="1" x14ac:dyDescent="0.2">
      <c r="A208" s="253"/>
      <c r="B208" s="254"/>
      <c r="C208" s="253"/>
      <c r="D208" s="253"/>
      <c r="E208" s="253"/>
      <c r="F208" s="253"/>
      <c r="G208" s="253"/>
      <c r="H208" s="253"/>
      <c r="I208" s="253"/>
      <c r="J208" s="253"/>
      <c r="K208" s="253"/>
      <c r="L208" s="25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  <c r="Z208" s="253"/>
      <c r="AA208" s="253"/>
      <c r="AB208" s="253"/>
      <c r="AC208" s="253"/>
      <c r="AD208" s="253"/>
      <c r="AE208" s="253"/>
      <c r="AF208" s="253"/>
      <c r="AG208" s="253"/>
      <c r="AH208" s="253"/>
      <c r="AI208" s="253"/>
      <c r="AJ208" s="253"/>
      <c r="AK208" s="253"/>
      <c r="AL208" s="253"/>
      <c r="AM208" s="253"/>
      <c r="AN208" s="253"/>
      <c r="AO208" s="253"/>
      <c r="AP208" s="253"/>
      <c r="AQ208" s="253"/>
    </row>
    <row r="209" spans="1:43" s="255" customFormat="1" x14ac:dyDescent="0.2">
      <c r="A209" s="253"/>
      <c r="B209" s="254"/>
      <c r="C209" s="253"/>
      <c r="D209" s="253"/>
      <c r="E209" s="253"/>
      <c r="F209" s="253"/>
      <c r="G209" s="253"/>
      <c r="H209" s="253"/>
      <c r="I209" s="253"/>
      <c r="J209" s="253"/>
      <c r="K209" s="253"/>
      <c r="L209" s="25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  <c r="Z209" s="253"/>
      <c r="AA209" s="253"/>
      <c r="AB209" s="253"/>
      <c r="AC209" s="253"/>
      <c r="AD209" s="253"/>
      <c r="AE209" s="253"/>
      <c r="AF209" s="253"/>
      <c r="AG209" s="253"/>
      <c r="AH209" s="253"/>
      <c r="AI209" s="253"/>
      <c r="AJ209" s="253"/>
      <c r="AK209" s="253"/>
      <c r="AL209" s="253"/>
      <c r="AM209" s="253"/>
      <c r="AN209" s="253"/>
      <c r="AO209" s="253"/>
      <c r="AP209" s="253"/>
      <c r="AQ209" s="253"/>
    </row>
    <row r="210" spans="1:43" s="255" customFormat="1" x14ac:dyDescent="0.2">
      <c r="A210" s="253"/>
      <c r="B210" s="254"/>
      <c r="C210" s="253"/>
      <c r="D210" s="253"/>
      <c r="E210" s="253"/>
      <c r="F210" s="253"/>
      <c r="G210" s="253"/>
      <c r="H210" s="253"/>
      <c r="I210" s="253"/>
      <c r="J210" s="253"/>
      <c r="K210" s="253"/>
      <c r="L210" s="253"/>
      <c r="M210" s="253"/>
      <c r="N210" s="253"/>
      <c r="O210" s="253"/>
      <c r="P210" s="253"/>
      <c r="Q210" s="253"/>
      <c r="R210" s="253"/>
      <c r="S210" s="253"/>
      <c r="T210" s="253"/>
      <c r="U210" s="253"/>
      <c r="V210" s="253"/>
      <c r="W210" s="253"/>
      <c r="X210" s="253"/>
      <c r="Y210" s="253"/>
      <c r="Z210" s="253"/>
      <c r="AA210" s="253"/>
      <c r="AB210" s="253"/>
      <c r="AC210" s="253"/>
      <c r="AD210" s="253"/>
      <c r="AE210" s="253"/>
      <c r="AF210" s="253"/>
      <c r="AG210" s="253"/>
      <c r="AH210" s="253"/>
      <c r="AI210" s="253"/>
      <c r="AJ210" s="253"/>
      <c r="AK210" s="253"/>
      <c r="AL210" s="253"/>
      <c r="AM210" s="253"/>
      <c r="AN210" s="253"/>
      <c r="AO210" s="253"/>
      <c r="AP210" s="253"/>
      <c r="AQ210" s="253"/>
    </row>
    <row r="211" spans="1:43" s="255" customFormat="1" x14ac:dyDescent="0.2">
      <c r="A211" s="253"/>
      <c r="B211" s="254"/>
      <c r="C211" s="253"/>
      <c r="D211" s="253"/>
      <c r="E211" s="253"/>
      <c r="F211" s="253"/>
      <c r="G211" s="253"/>
      <c r="H211" s="253"/>
      <c r="I211" s="253"/>
      <c r="J211" s="253"/>
      <c r="K211" s="253"/>
      <c r="L211" s="253"/>
      <c r="M211" s="253"/>
      <c r="N211" s="253"/>
      <c r="O211" s="253"/>
      <c r="P211" s="253"/>
      <c r="Q211" s="253"/>
      <c r="R211" s="253"/>
      <c r="S211" s="253"/>
      <c r="T211" s="253"/>
      <c r="U211" s="253"/>
      <c r="V211" s="253"/>
      <c r="W211" s="253"/>
      <c r="X211" s="253"/>
      <c r="Y211" s="253"/>
      <c r="Z211" s="253"/>
      <c r="AA211" s="253"/>
      <c r="AB211" s="253"/>
      <c r="AC211" s="253"/>
      <c r="AD211" s="253"/>
      <c r="AE211" s="253"/>
      <c r="AF211" s="253"/>
      <c r="AG211" s="253"/>
      <c r="AH211" s="253"/>
      <c r="AI211" s="253"/>
      <c r="AJ211" s="253"/>
      <c r="AK211" s="253"/>
      <c r="AL211" s="253"/>
      <c r="AM211" s="253"/>
      <c r="AN211" s="253"/>
      <c r="AO211" s="253"/>
      <c r="AP211" s="253"/>
      <c r="AQ211" s="253"/>
    </row>
    <row r="212" spans="1:43" s="255" customFormat="1" x14ac:dyDescent="0.2">
      <c r="A212" s="253"/>
      <c r="B212" s="254"/>
      <c r="C212" s="253"/>
      <c r="D212" s="253"/>
      <c r="E212" s="253"/>
      <c r="F212" s="253"/>
      <c r="G212" s="253"/>
      <c r="H212" s="253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  <c r="Z212" s="253"/>
      <c r="AA212" s="253"/>
      <c r="AB212" s="253"/>
      <c r="AC212" s="253"/>
      <c r="AD212" s="253"/>
      <c r="AE212" s="253"/>
      <c r="AF212" s="253"/>
      <c r="AG212" s="253"/>
      <c r="AH212" s="253"/>
      <c r="AI212" s="253"/>
      <c r="AJ212" s="253"/>
      <c r="AK212" s="253"/>
      <c r="AL212" s="253"/>
      <c r="AM212" s="253"/>
      <c r="AN212" s="253"/>
      <c r="AO212" s="253"/>
      <c r="AP212" s="253"/>
      <c r="AQ212" s="253"/>
    </row>
    <row r="213" spans="1:43" s="255" customFormat="1" x14ac:dyDescent="0.2">
      <c r="A213" s="253"/>
      <c r="B213" s="254"/>
      <c r="C213" s="253"/>
      <c r="D213" s="253"/>
      <c r="E213" s="253"/>
      <c r="F213" s="253"/>
      <c r="G213" s="253"/>
      <c r="H213" s="253"/>
      <c r="I213" s="253"/>
      <c r="J213" s="253"/>
      <c r="K213" s="253"/>
      <c r="L213" s="25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  <c r="Z213" s="253"/>
      <c r="AA213" s="253"/>
      <c r="AB213" s="253"/>
      <c r="AC213" s="253"/>
      <c r="AD213" s="253"/>
      <c r="AE213" s="253"/>
      <c r="AF213" s="253"/>
      <c r="AG213" s="253"/>
      <c r="AH213" s="253"/>
      <c r="AI213" s="253"/>
      <c r="AJ213" s="253"/>
      <c r="AK213" s="253"/>
      <c r="AL213" s="253"/>
      <c r="AM213" s="253"/>
      <c r="AN213" s="253"/>
      <c r="AO213" s="253"/>
      <c r="AP213" s="253"/>
      <c r="AQ213" s="253"/>
    </row>
    <row r="214" spans="1:43" s="255" customFormat="1" x14ac:dyDescent="0.2">
      <c r="A214" s="253"/>
      <c r="B214" s="254"/>
      <c r="C214" s="253"/>
      <c r="D214" s="253"/>
      <c r="E214" s="253"/>
      <c r="F214" s="253"/>
      <c r="G214" s="253"/>
      <c r="H214" s="253"/>
      <c r="I214" s="253"/>
      <c r="J214" s="253"/>
      <c r="K214" s="253"/>
      <c r="L214" s="25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  <c r="Z214" s="253"/>
      <c r="AA214" s="253"/>
      <c r="AB214" s="253"/>
      <c r="AC214" s="253"/>
      <c r="AD214" s="253"/>
      <c r="AE214" s="253"/>
      <c r="AF214" s="253"/>
      <c r="AG214" s="253"/>
      <c r="AH214" s="253"/>
      <c r="AI214" s="253"/>
      <c r="AJ214" s="253"/>
      <c r="AK214" s="253"/>
      <c r="AL214" s="253"/>
      <c r="AM214" s="253"/>
      <c r="AN214" s="253"/>
      <c r="AO214" s="253"/>
      <c r="AP214" s="253"/>
      <c r="AQ214" s="253"/>
    </row>
    <row r="215" spans="1:43" s="255" customFormat="1" x14ac:dyDescent="0.2">
      <c r="A215" s="253"/>
      <c r="B215" s="254"/>
      <c r="C215" s="253"/>
      <c r="D215" s="253"/>
      <c r="E215" s="253"/>
      <c r="F215" s="253"/>
      <c r="G215" s="253"/>
      <c r="H215" s="253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  <c r="Z215" s="253"/>
      <c r="AA215" s="253"/>
      <c r="AB215" s="253"/>
      <c r="AC215" s="253"/>
      <c r="AD215" s="253"/>
      <c r="AE215" s="253"/>
      <c r="AF215" s="253"/>
      <c r="AG215" s="253"/>
      <c r="AH215" s="253"/>
      <c r="AI215" s="253"/>
      <c r="AJ215" s="253"/>
      <c r="AK215" s="253"/>
      <c r="AL215" s="253"/>
      <c r="AM215" s="253"/>
      <c r="AN215" s="253"/>
      <c r="AO215" s="253"/>
      <c r="AP215" s="253"/>
      <c r="AQ215" s="253"/>
    </row>
    <row r="216" spans="1:43" s="255" customFormat="1" x14ac:dyDescent="0.2">
      <c r="A216" s="253"/>
      <c r="B216" s="254"/>
      <c r="C216" s="253"/>
      <c r="D216" s="253"/>
      <c r="E216" s="253"/>
      <c r="F216" s="253"/>
      <c r="G216" s="253"/>
      <c r="H216" s="253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  <c r="Z216" s="253"/>
      <c r="AA216" s="253"/>
      <c r="AB216" s="253"/>
      <c r="AC216" s="253"/>
      <c r="AD216" s="253"/>
      <c r="AE216" s="253"/>
      <c r="AF216" s="253"/>
      <c r="AG216" s="253"/>
      <c r="AH216" s="253"/>
      <c r="AI216" s="253"/>
      <c r="AJ216" s="253"/>
      <c r="AK216" s="253"/>
      <c r="AL216" s="253"/>
      <c r="AM216" s="253"/>
      <c r="AN216" s="253"/>
      <c r="AO216" s="253"/>
      <c r="AP216" s="253"/>
      <c r="AQ216" s="253"/>
    </row>
    <row r="217" spans="1:43" s="255" customFormat="1" x14ac:dyDescent="0.2">
      <c r="A217" s="253"/>
      <c r="B217" s="254"/>
      <c r="C217" s="253"/>
      <c r="D217" s="253"/>
      <c r="E217" s="253"/>
      <c r="F217" s="253"/>
      <c r="G217" s="253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  <c r="AB217" s="253"/>
      <c r="AC217" s="253"/>
      <c r="AD217" s="253"/>
      <c r="AE217" s="253"/>
      <c r="AF217" s="253"/>
      <c r="AG217" s="253"/>
      <c r="AH217" s="253"/>
      <c r="AI217" s="253"/>
      <c r="AJ217" s="253"/>
      <c r="AK217" s="253"/>
      <c r="AL217" s="253"/>
      <c r="AM217" s="253"/>
      <c r="AN217" s="253"/>
      <c r="AO217" s="253"/>
      <c r="AP217" s="253"/>
      <c r="AQ217" s="253"/>
    </row>
    <row r="218" spans="1:43" s="255" customFormat="1" x14ac:dyDescent="0.2">
      <c r="A218" s="253"/>
      <c r="B218" s="254"/>
      <c r="C218" s="253"/>
      <c r="D218" s="253"/>
      <c r="E218" s="253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253"/>
      <c r="AI218" s="253"/>
      <c r="AJ218" s="253"/>
      <c r="AK218" s="253"/>
      <c r="AL218" s="253"/>
      <c r="AM218" s="253"/>
      <c r="AN218" s="253"/>
      <c r="AO218" s="253"/>
      <c r="AP218" s="253"/>
      <c r="AQ218" s="253"/>
    </row>
    <row r="219" spans="1:43" s="255" customFormat="1" x14ac:dyDescent="0.2">
      <c r="A219" s="253"/>
      <c r="B219" s="254"/>
      <c r="C219" s="253"/>
      <c r="D219" s="253"/>
      <c r="E219" s="253"/>
      <c r="F219" s="253"/>
      <c r="G219" s="253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  <c r="AA219" s="253"/>
      <c r="AB219" s="253"/>
      <c r="AC219" s="253"/>
      <c r="AD219" s="253"/>
      <c r="AE219" s="253"/>
      <c r="AF219" s="253"/>
      <c r="AG219" s="253"/>
      <c r="AH219" s="253"/>
      <c r="AI219" s="253"/>
      <c r="AJ219" s="253"/>
      <c r="AK219" s="253"/>
      <c r="AL219" s="253"/>
      <c r="AM219" s="253"/>
      <c r="AN219" s="253"/>
      <c r="AO219" s="253"/>
      <c r="AP219" s="253"/>
      <c r="AQ219" s="253"/>
    </row>
    <row r="220" spans="1:43" s="255" customFormat="1" x14ac:dyDescent="0.2">
      <c r="A220" s="253"/>
      <c r="B220" s="254"/>
      <c r="C220" s="253"/>
      <c r="D220" s="253"/>
      <c r="E220" s="253"/>
      <c r="F220" s="253"/>
      <c r="G220" s="253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  <c r="AA220" s="253"/>
      <c r="AB220" s="253"/>
      <c r="AC220" s="253"/>
      <c r="AD220" s="253"/>
      <c r="AE220" s="253"/>
      <c r="AF220" s="253"/>
      <c r="AG220" s="253"/>
      <c r="AH220" s="253"/>
      <c r="AI220" s="253"/>
      <c r="AJ220" s="253"/>
      <c r="AK220" s="253"/>
      <c r="AL220" s="253"/>
      <c r="AM220" s="253"/>
      <c r="AN220" s="253"/>
      <c r="AO220" s="253"/>
      <c r="AP220" s="253"/>
      <c r="AQ220" s="253"/>
    </row>
    <row r="221" spans="1:43" s="255" customFormat="1" x14ac:dyDescent="0.2">
      <c r="A221" s="253"/>
      <c r="B221" s="254"/>
      <c r="C221" s="253"/>
      <c r="D221" s="253"/>
      <c r="E221" s="253"/>
      <c r="F221" s="253"/>
      <c r="G221" s="253"/>
      <c r="H221" s="253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  <c r="AA221" s="253"/>
      <c r="AB221" s="253"/>
      <c r="AC221" s="253"/>
      <c r="AD221" s="253"/>
      <c r="AE221" s="253"/>
      <c r="AF221" s="253"/>
      <c r="AG221" s="253"/>
      <c r="AH221" s="253"/>
      <c r="AI221" s="253"/>
      <c r="AJ221" s="253"/>
      <c r="AK221" s="253"/>
      <c r="AL221" s="253"/>
      <c r="AM221" s="253"/>
      <c r="AN221" s="253"/>
      <c r="AO221" s="253"/>
      <c r="AP221" s="253"/>
      <c r="AQ221" s="253"/>
    </row>
    <row r="222" spans="1:43" s="255" customFormat="1" x14ac:dyDescent="0.2">
      <c r="A222" s="253"/>
      <c r="B222" s="254"/>
      <c r="C222" s="253"/>
      <c r="D222" s="253"/>
      <c r="E222" s="253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  <c r="AB222" s="253"/>
      <c r="AC222" s="253"/>
      <c r="AD222" s="253"/>
      <c r="AE222" s="253"/>
      <c r="AF222" s="253"/>
      <c r="AG222" s="253"/>
      <c r="AH222" s="253"/>
      <c r="AI222" s="253"/>
      <c r="AJ222" s="253"/>
      <c r="AK222" s="253"/>
      <c r="AL222" s="253"/>
      <c r="AM222" s="253"/>
      <c r="AN222" s="253"/>
      <c r="AO222" s="253"/>
      <c r="AP222" s="253"/>
      <c r="AQ222" s="253"/>
    </row>
    <row r="223" spans="1:43" s="255" customFormat="1" x14ac:dyDescent="0.2">
      <c r="A223" s="253"/>
      <c r="B223" s="254"/>
      <c r="C223" s="253"/>
      <c r="D223" s="253"/>
      <c r="E223" s="253"/>
      <c r="F223" s="253"/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  <c r="AA223" s="253"/>
      <c r="AB223" s="253"/>
      <c r="AC223" s="253"/>
      <c r="AD223" s="253"/>
      <c r="AE223" s="253"/>
      <c r="AF223" s="253"/>
      <c r="AG223" s="253"/>
      <c r="AH223" s="253"/>
      <c r="AI223" s="253"/>
      <c r="AJ223" s="253"/>
      <c r="AK223" s="253"/>
      <c r="AL223" s="253"/>
      <c r="AM223" s="253"/>
      <c r="AN223" s="253"/>
      <c r="AO223" s="253"/>
      <c r="AP223" s="253"/>
      <c r="AQ223" s="253"/>
    </row>
    <row r="224" spans="1:43" s="255" customFormat="1" x14ac:dyDescent="0.2">
      <c r="A224" s="253"/>
      <c r="B224" s="254"/>
      <c r="C224" s="253"/>
      <c r="D224" s="253"/>
      <c r="E224" s="253"/>
      <c r="F224" s="253"/>
      <c r="G224" s="253"/>
      <c r="H224" s="253"/>
      <c r="I224" s="253"/>
      <c r="J224" s="253"/>
      <c r="K224" s="253"/>
      <c r="L224" s="253"/>
      <c r="M224" s="253"/>
      <c r="N224" s="253"/>
      <c r="O224" s="253"/>
      <c r="P224" s="253"/>
      <c r="Q224" s="253"/>
      <c r="R224" s="253"/>
      <c r="S224" s="253"/>
      <c r="T224" s="253"/>
      <c r="U224" s="253"/>
      <c r="V224" s="253"/>
      <c r="W224" s="253"/>
      <c r="X224" s="253"/>
      <c r="Y224" s="253"/>
      <c r="Z224" s="253"/>
      <c r="AA224" s="253"/>
      <c r="AB224" s="253"/>
      <c r="AC224" s="253"/>
      <c r="AD224" s="253"/>
      <c r="AE224" s="253"/>
      <c r="AF224" s="253"/>
      <c r="AG224" s="253"/>
      <c r="AH224" s="253"/>
      <c r="AI224" s="253"/>
      <c r="AJ224" s="253"/>
      <c r="AK224" s="253"/>
      <c r="AL224" s="253"/>
      <c r="AM224" s="253"/>
      <c r="AN224" s="253"/>
      <c r="AO224" s="253"/>
      <c r="AP224" s="253"/>
      <c r="AQ224" s="253"/>
    </row>
    <row r="225" spans="1:43" s="255" customFormat="1" x14ac:dyDescent="0.2">
      <c r="A225" s="253"/>
      <c r="B225" s="254"/>
      <c r="C225" s="253"/>
      <c r="D225" s="253"/>
      <c r="E225" s="253"/>
      <c r="F225" s="253"/>
      <c r="G225" s="253"/>
      <c r="H225" s="253"/>
      <c r="I225" s="253"/>
      <c r="J225" s="253"/>
      <c r="K225" s="253"/>
      <c r="L225" s="253"/>
      <c r="M225" s="253"/>
      <c r="N225" s="253"/>
      <c r="O225" s="253"/>
      <c r="P225" s="253"/>
      <c r="Q225" s="253"/>
      <c r="R225" s="253"/>
      <c r="S225" s="253"/>
      <c r="T225" s="253"/>
      <c r="U225" s="253"/>
      <c r="V225" s="253"/>
      <c r="W225" s="253"/>
      <c r="X225" s="253"/>
      <c r="Y225" s="253"/>
      <c r="Z225" s="253"/>
      <c r="AA225" s="253"/>
      <c r="AB225" s="253"/>
      <c r="AC225" s="253"/>
      <c r="AD225" s="253"/>
      <c r="AE225" s="253"/>
      <c r="AF225" s="253"/>
      <c r="AG225" s="253"/>
      <c r="AH225" s="253"/>
      <c r="AI225" s="253"/>
      <c r="AJ225" s="253"/>
      <c r="AK225" s="253"/>
      <c r="AL225" s="253"/>
      <c r="AM225" s="253"/>
      <c r="AN225" s="253"/>
      <c r="AO225" s="253"/>
      <c r="AP225" s="253"/>
      <c r="AQ225" s="253"/>
    </row>
    <row r="226" spans="1:43" s="255" customFormat="1" x14ac:dyDescent="0.2">
      <c r="A226" s="253"/>
      <c r="B226" s="254"/>
      <c r="C226" s="253"/>
      <c r="D226" s="253"/>
      <c r="E226" s="253"/>
      <c r="F226" s="253"/>
      <c r="G226" s="253"/>
      <c r="H226" s="253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  <c r="Z226" s="253"/>
      <c r="AA226" s="253"/>
      <c r="AB226" s="253"/>
      <c r="AC226" s="253"/>
      <c r="AD226" s="253"/>
      <c r="AE226" s="253"/>
      <c r="AF226" s="253"/>
      <c r="AG226" s="253"/>
      <c r="AH226" s="253"/>
      <c r="AI226" s="253"/>
      <c r="AJ226" s="253"/>
      <c r="AK226" s="253"/>
      <c r="AL226" s="253"/>
      <c r="AM226" s="253"/>
      <c r="AN226" s="253"/>
      <c r="AO226" s="253"/>
      <c r="AP226" s="253"/>
      <c r="AQ226" s="253"/>
    </row>
    <row r="227" spans="1:43" s="255" customFormat="1" x14ac:dyDescent="0.2">
      <c r="A227" s="253"/>
      <c r="B227" s="254"/>
      <c r="C227" s="253"/>
      <c r="D227" s="253"/>
      <c r="E227" s="253"/>
      <c r="F227" s="253"/>
      <c r="G227" s="253"/>
      <c r="H227" s="253"/>
      <c r="I227" s="253"/>
      <c r="J227" s="253"/>
      <c r="K227" s="253"/>
      <c r="L227" s="25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  <c r="Z227" s="253"/>
      <c r="AA227" s="253"/>
      <c r="AB227" s="253"/>
      <c r="AC227" s="253"/>
      <c r="AD227" s="253"/>
      <c r="AE227" s="253"/>
      <c r="AF227" s="253"/>
      <c r="AG227" s="253"/>
      <c r="AH227" s="253"/>
      <c r="AI227" s="253"/>
      <c r="AJ227" s="253"/>
      <c r="AK227" s="253"/>
      <c r="AL227" s="253"/>
      <c r="AM227" s="253"/>
      <c r="AN227" s="253"/>
      <c r="AO227" s="253"/>
      <c r="AP227" s="253"/>
      <c r="AQ227" s="253"/>
    </row>
    <row r="228" spans="1:43" s="255" customFormat="1" x14ac:dyDescent="0.2">
      <c r="A228" s="253"/>
      <c r="B228" s="254"/>
      <c r="C228" s="253"/>
      <c r="D228" s="253"/>
      <c r="E228" s="253"/>
      <c r="F228" s="253"/>
      <c r="G228" s="253"/>
      <c r="H228" s="253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  <c r="Z228" s="253"/>
      <c r="AA228" s="253"/>
      <c r="AB228" s="253"/>
      <c r="AC228" s="253"/>
      <c r="AD228" s="253"/>
      <c r="AE228" s="253"/>
      <c r="AF228" s="253"/>
      <c r="AG228" s="253"/>
      <c r="AH228" s="253"/>
      <c r="AI228" s="253"/>
      <c r="AJ228" s="253"/>
      <c r="AK228" s="253"/>
      <c r="AL228" s="253"/>
      <c r="AM228" s="253"/>
      <c r="AN228" s="253"/>
      <c r="AO228" s="253"/>
      <c r="AP228" s="253"/>
      <c r="AQ228" s="253"/>
    </row>
    <row r="229" spans="1:43" s="255" customFormat="1" x14ac:dyDescent="0.2">
      <c r="A229" s="253"/>
      <c r="B229" s="254"/>
      <c r="C229" s="253"/>
      <c r="D229" s="253"/>
      <c r="E229" s="253"/>
      <c r="F229" s="253"/>
      <c r="G229" s="253"/>
      <c r="H229" s="253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  <c r="AA229" s="253"/>
      <c r="AB229" s="253"/>
      <c r="AC229" s="253"/>
      <c r="AD229" s="253"/>
      <c r="AE229" s="253"/>
      <c r="AF229" s="253"/>
      <c r="AG229" s="253"/>
      <c r="AH229" s="253"/>
      <c r="AI229" s="253"/>
      <c r="AJ229" s="253"/>
      <c r="AK229" s="253"/>
      <c r="AL229" s="253"/>
      <c r="AM229" s="253"/>
      <c r="AN229" s="253"/>
      <c r="AO229" s="253"/>
      <c r="AP229" s="253"/>
      <c r="AQ229" s="253"/>
    </row>
    <row r="230" spans="1:43" s="255" customFormat="1" x14ac:dyDescent="0.2">
      <c r="A230" s="253"/>
      <c r="B230" s="254"/>
      <c r="C230" s="253"/>
      <c r="D230" s="253"/>
      <c r="E230" s="253"/>
      <c r="F230" s="253"/>
      <c r="G230" s="253"/>
      <c r="H230" s="253"/>
      <c r="I230" s="253"/>
      <c r="J230" s="253"/>
      <c r="K230" s="253"/>
      <c r="L230" s="253"/>
      <c r="M230" s="253"/>
      <c r="N230" s="253"/>
      <c r="O230" s="253"/>
      <c r="P230" s="253"/>
      <c r="Q230" s="253"/>
      <c r="R230" s="253"/>
      <c r="S230" s="253"/>
      <c r="T230" s="253"/>
      <c r="U230" s="253"/>
      <c r="V230" s="253"/>
      <c r="W230" s="253"/>
      <c r="X230" s="253"/>
      <c r="Y230" s="253"/>
      <c r="Z230" s="253"/>
      <c r="AA230" s="253"/>
      <c r="AB230" s="253"/>
      <c r="AC230" s="253"/>
      <c r="AD230" s="253"/>
      <c r="AE230" s="253"/>
      <c r="AF230" s="253"/>
      <c r="AG230" s="253"/>
      <c r="AH230" s="253"/>
      <c r="AI230" s="253"/>
      <c r="AJ230" s="253"/>
      <c r="AK230" s="253"/>
      <c r="AL230" s="253"/>
      <c r="AM230" s="253"/>
      <c r="AN230" s="253"/>
      <c r="AO230" s="253"/>
      <c r="AP230" s="253"/>
      <c r="AQ230" s="253"/>
    </row>
    <row r="231" spans="1:43" s="255" customFormat="1" x14ac:dyDescent="0.2">
      <c r="A231" s="253"/>
      <c r="B231" s="254"/>
      <c r="C231" s="253"/>
      <c r="D231" s="253"/>
      <c r="E231" s="253"/>
      <c r="F231" s="253"/>
      <c r="G231" s="253"/>
      <c r="H231" s="253"/>
      <c r="I231" s="253"/>
      <c r="J231" s="253"/>
      <c r="K231" s="253"/>
      <c r="L231" s="253"/>
      <c r="M231" s="253"/>
      <c r="N231" s="253"/>
      <c r="O231" s="253"/>
      <c r="P231" s="253"/>
      <c r="Q231" s="253"/>
      <c r="R231" s="253"/>
      <c r="S231" s="253"/>
      <c r="T231" s="253"/>
      <c r="U231" s="253"/>
      <c r="V231" s="253"/>
      <c r="W231" s="253"/>
      <c r="X231" s="253"/>
      <c r="Y231" s="253"/>
      <c r="Z231" s="253"/>
      <c r="AA231" s="253"/>
      <c r="AB231" s="253"/>
      <c r="AC231" s="253"/>
      <c r="AD231" s="253"/>
      <c r="AE231" s="253"/>
      <c r="AF231" s="253"/>
      <c r="AG231" s="253"/>
      <c r="AH231" s="253"/>
      <c r="AI231" s="253"/>
      <c r="AJ231" s="253"/>
      <c r="AK231" s="253"/>
      <c r="AL231" s="253"/>
      <c r="AM231" s="253"/>
      <c r="AN231" s="253"/>
      <c r="AO231" s="253"/>
      <c r="AP231" s="253"/>
      <c r="AQ231" s="253"/>
    </row>
    <row r="232" spans="1:43" s="255" customFormat="1" x14ac:dyDescent="0.2">
      <c r="A232" s="253"/>
      <c r="B232" s="254"/>
      <c r="C232" s="253"/>
      <c r="D232" s="253"/>
      <c r="E232" s="253"/>
      <c r="F232" s="253"/>
      <c r="G232" s="253"/>
      <c r="H232" s="253"/>
      <c r="I232" s="253"/>
      <c r="J232" s="253"/>
      <c r="K232" s="253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  <c r="Z232" s="253"/>
      <c r="AA232" s="253"/>
      <c r="AB232" s="253"/>
      <c r="AC232" s="253"/>
      <c r="AD232" s="253"/>
      <c r="AE232" s="253"/>
      <c r="AF232" s="253"/>
      <c r="AG232" s="253"/>
      <c r="AH232" s="253"/>
      <c r="AI232" s="253"/>
      <c r="AJ232" s="253"/>
      <c r="AK232" s="253"/>
      <c r="AL232" s="253"/>
      <c r="AM232" s="253"/>
      <c r="AN232" s="253"/>
      <c r="AO232" s="253"/>
      <c r="AP232" s="253"/>
      <c r="AQ232" s="253"/>
    </row>
    <row r="233" spans="1:43" s="255" customFormat="1" x14ac:dyDescent="0.2">
      <c r="A233" s="253"/>
      <c r="B233" s="254"/>
      <c r="C233" s="253"/>
      <c r="D233" s="253"/>
      <c r="E233" s="253"/>
      <c r="F233" s="253"/>
      <c r="G233" s="253"/>
      <c r="H233" s="253"/>
      <c r="I233" s="253"/>
      <c r="J233" s="253"/>
      <c r="K233" s="253"/>
      <c r="L233" s="253"/>
      <c r="M233" s="253"/>
      <c r="N233" s="253"/>
      <c r="O233" s="253"/>
      <c r="P233" s="253"/>
      <c r="Q233" s="253"/>
      <c r="R233" s="253"/>
      <c r="S233" s="253"/>
      <c r="T233" s="253"/>
      <c r="U233" s="253"/>
      <c r="V233" s="253"/>
      <c r="W233" s="253"/>
      <c r="X233" s="253"/>
      <c r="Y233" s="253"/>
      <c r="Z233" s="253"/>
      <c r="AA233" s="253"/>
      <c r="AB233" s="253"/>
      <c r="AC233" s="253"/>
      <c r="AD233" s="253"/>
      <c r="AE233" s="253"/>
      <c r="AF233" s="253"/>
      <c r="AG233" s="253"/>
      <c r="AH233" s="253"/>
      <c r="AI233" s="253"/>
      <c r="AJ233" s="253"/>
      <c r="AK233" s="253"/>
      <c r="AL233" s="253"/>
      <c r="AM233" s="253"/>
      <c r="AN233" s="253"/>
      <c r="AO233" s="253"/>
      <c r="AP233" s="253"/>
      <c r="AQ233" s="253"/>
    </row>
    <row r="234" spans="1:43" s="255" customFormat="1" x14ac:dyDescent="0.2">
      <c r="A234" s="253"/>
      <c r="B234" s="254"/>
      <c r="C234" s="253"/>
      <c r="D234" s="253"/>
      <c r="E234" s="253"/>
      <c r="F234" s="253"/>
      <c r="G234" s="253"/>
      <c r="H234" s="253"/>
      <c r="I234" s="253"/>
      <c r="J234" s="253"/>
      <c r="K234" s="253"/>
      <c r="L234" s="253"/>
      <c r="M234" s="253"/>
      <c r="N234" s="253"/>
      <c r="O234" s="253"/>
      <c r="P234" s="253"/>
      <c r="Q234" s="253"/>
      <c r="R234" s="253"/>
      <c r="S234" s="253"/>
      <c r="T234" s="253"/>
      <c r="U234" s="253"/>
      <c r="V234" s="253"/>
      <c r="W234" s="253"/>
      <c r="X234" s="253"/>
      <c r="Y234" s="253"/>
      <c r="Z234" s="253"/>
      <c r="AA234" s="253"/>
      <c r="AB234" s="253"/>
      <c r="AC234" s="253"/>
      <c r="AD234" s="253"/>
      <c r="AE234" s="253"/>
      <c r="AF234" s="253"/>
      <c r="AG234" s="253"/>
      <c r="AH234" s="253"/>
      <c r="AI234" s="253"/>
      <c r="AJ234" s="253"/>
      <c r="AK234" s="253"/>
      <c r="AL234" s="253"/>
      <c r="AM234" s="253"/>
      <c r="AN234" s="253"/>
      <c r="AO234" s="253"/>
      <c r="AP234" s="253"/>
      <c r="AQ234" s="253"/>
    </row>
    <row r="235" spans="1:43" s="255" customFormat="1" x14ac:dyDescent="0.2">
      <c r="A235" s="253"/>
      <c r="B235" s="254"/>
      <c r="C235" s="253"/>
      <c r="D235" s="253"/>
      <c r="E235" s="253"/>
      <c r="F235" s="253"/>
      <c r="G235" s="253"/>
      <c r="H235" s="253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53"/>
      <c r="AB235" s="253"/>
      <c r="AC235" s="253"/>
      <c r="AD235" s="253"/>
      <c r="AE235" s="253"/>
      <c r="AF235" s="253"/>
      <c r="AG235" s="253"/>
      <c r="AH235" s="253"/>
      <c r="AI235" s="253"/>
      <c r="AJ235" s="253"/>
      <c r="AK235" s="253"/>
      <c r="AL235" s="253"/>
      <c r="AM235" s="253"/>
      <c r="AN235" s="253"/>
      <c r="AO235" s="253"/>
      <c r="AP235" s="253"/>
      <c r="AQ235" s="253"/>
    </row>
    <row r="236" spans="1:43" s="255" customFormat="1" x14ac:dyDescent="0.2">
      <c r="A236" s="253"/>
      <c r="B236" s="254"/>
      <c r="C236" s="253"/>
      <c r="D236" s="253"/>
      <c r="E236" s="253"/>
      <c r="F236" s="253"/>
      <c r="G236" s="253"/>
      <c r="H236" s="253"/>
      <c r="I236" s="253"/>
      <c r="J236" s="253"/>
      <c r="K236" s="253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  <c r="AA236" s="253"/>
      <c r="AB236" s="253"/>
      <c r="AC236" s="253"/>
      <c r="AD236" s="253"/>
      <c r="AE236" s="253"/>
      <c r="AF236" s="253"/>
      <c r="AG236" s="253"/>
      <c r="AH236" s="253"/>
      <c r="AI236" s="253"/>
      <c r="AJ236" s="253"/>
      <c r="AK236" s="253"/>
      <c r="AL236" s="253"/>
      <c r="AM236" s="253"/>
      <c r="AN236" s="253"/>
      <c r="AO236" s="253"/>
      <c r="AP236" s="253"/>
      <c r="AQ236" s="253"/>
    </row>
    <row r="237" spans="1:43" s="255" customFormat="1" x14ac:dyDescent="0.2">
      <c r="A237" s="253"/>
      <c r="B237" s="254"/>
      <c r="C237" s="253"/>
      <c r="D237" s="253"/>
      <c r="E237" s="253"/>
      <c r="F237" s="253"/>
      <c r="G237" s="253"/>
      <c r="H237" s="253"/>
      <c r="I237" s="253"/>
      <c r="J237" s="253"/>
      <c r="K237" s="253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  <c r="AA237" s="253"/>
      <c r="AB237" s="253"/>
      <c r="AC237" s="253"/>
      <c r="AD237" s="253"/>
      <c r="AE237" s="253"/>
      <c r="AF237" s="253"/>
      <c r="AG237" s="253"/>
      <c r="AH237" s="253"/>
      <c r="AI237" s="253"/>
      <c r="AJ237" s="253"/>
      <c r="AK237" s="253"/>
      <c r="AL237" s="253"/>
      <c r="AM237" s="253"/>
      <c r="AN237" s="253"/>
      <c r="AO237" s="253"/>
      <c r="AP237" s="253"/>
      <c r="AQ237" s="253"/>
    </row>
  </sheetData>
  <sheetProtection algorithmName="SHA-512" hashValue="9RceVS7FZu9TRDHUXM1oCo7g9R3ciOwr0tCOVX77cLOVdH2QyY0BRreqmUg/nvjayD+Neizug5tLJfU7L+VlDg==" saltValue="sihrBCcguXUe2QmLcfcpZA==" spinCount="100000" sheet="1" objects="1" scenarios="1"/>
  <mergeCells count="31">
    <mergeCell ref="E68:F68"/>
    <mergeCell ref="A22:B22"/>
    <mergeCell ref="A39:B39"/>
    <mergeCell ref="A48:B48"/>
    <mergeCell ref="B95:C95"/>
    <mergeCell ref="D95:F95"/>
    <mergeCell ref="B94:C94"/>
    <mergeCell ref="D94:F94"/>
    <mergeCell ref="A34:A35"/>
    <mergeCell ref="B34:L35"/>
    <mergeCell ref="A86:B86"/>
    <mergeCell ref="B87:D87"/>
    <mergeCell ref="E87:G87"/>
    <mergeCell ref="H87:J87"/>
    <mergeCell ref="K87:M87"/>
    <mergeCell ref="C11:D11"/>
    <mergeCell ref="J11:K11"/>
    <mergeCell ref="I54:J54"/>
    <mergeCell ref="H38:J38"/>
    <mergeCell ref="H67:J67"/>
    <mergeCell ref="J12:K12"/>
    <mergeCell ref="C14:D14"/>
    <mergeCell ref="C15:D15"/>
    <mergeCell ref="C16:D16"/>
    <mergeCell ref="C1:L1"/>
    <mergeCell ref="B2:E2"/>
    <mergeCell ref="K2:L2"/>
    <mergeCell ref="G2:H2"/>
    <mergeCell ref="C9:D9"/>
    <mergeCell ref="C7:D7"/>
    <mergeCell ref="A5:B5"/>
  </mergeCells>
  <phoneticPr fontId="30" type="noConversion"/>
  <conditionalFormatting sqref="C90">
    <cfRule type="containsText" dxfId="8" priority="4" stopIfTrue="1" operator="containsText" text="Non">
      <formula>NOT(ISERROR(SEARCH("Non",C90)))</formula>
    </cfRule>
  </conditionalFormatting>
  <conditionalFormatting sqref="C92 F92 I92 L92">
    <cfRule type="containsText" dxfId="7" priority="3" stopIfTrue="1" operator="containsText" text="Non">
      <formula>NOT(ISERROR(SEARCH("Non",C92)))</formula>
    </cfRule>
  </conditionalFormatting>
  <conditionalFormatting sqref="D67:H67 K67:L67">
    <cfRule type="containsText" dxfId="6" priority="82" operator="containsText" text="(4) The indicated Market Contribution exceeds the Maximal Market Contribution.">
      <formula>NOT(ISERROR(SEARCH("(4) The indicated Market Contribution exceeds the Maximal Market Contribution.",D67)))</formula>
    </cfRule>
  </conditionalFormatting>
  <conditionalFormatting sqref="E14:E15">
    <cfRule type="containsText" dxfId="5" priority="7" operator="containsText" text="Non">
      <formula>NOT(ISERROR(SEARCH("Non",E14)))</formula>
    </cfRule>
  </conditionalFormatting>
  <conditionalFormatting sqref="E70:F72 E74:F78">
    <cfRule type="containsText" dxfId="4" priority="83" operator="containsText" text="Non">
      <formula>NOT(ISERROR(SEARCH("Non",E70)))</formula>
    </cfRule>
  </conditionalFormatting>
  <conditionalFormatting sqref="E80:F84">
    <cfRule type="containsText" dxfId="3" priority="1" operator="containsText" text="Non">
      <formula>NOT(ISERROR(SEARCH("Non",E80)))</formula>
    </cfRule>
  </conditionalFormatting>
  <conditionalFormatting sqref="F90 I90">
    <cfRule type="containsText" dxfId="2" priority="8" stopIfTrue="1" operator="containsText" text="Non">
      <formula>NOT(ISERROR(SEARCH("Non",F90)))</formula>
    </cfRule>
  </conditionalFormatting>
  <conditionalFormatting sqref="H48:K49">
    <cfRule type="expression" dxfId="1" priority="11">
      <formula>$K$48&lt;&gt;""</formula>
    </cfRule>
  </conditionalFormatting>
  <conditionalFormatting sqref="L90">
    <cfRule type="containsText" dxfId="0" priority="5" stopIfTrue="1" operator="containsText" text="Non">
      <formula>NOT(ISERROR(SEARCH("Non",L90)))</formula>
    </cfRule>
  </conditionalFormatting>
  <dataValidations count="10">
    <dataValidation type="whole" allowBlank="1" showInputMessage="1" showErrorMessage="1" error="le montanmt doit être égale ou plus petit que le maximum permis (15% du budget ou 225 000)_x000a__x000a__x000a_" sqref="D33" xr:uid="{5F5B3FB6-C8EA-4FD2-B0AB-220866C24430}">
      <formula1>0</formula1>
      <formula2>C33</formula2>
    </dataValidation>
    <dataValidation type="decimal" allowBlank="1" showErrorMessage="1" errorTitle="Not a number" error="Enter the Envelope Contribution for this licence" sqref="C24:D29 E25:E29" xr:uid="{442C29A2-0C02-48EC-A46B-D24316651ABD}">
      <formula1>0</formula1>
      <formula2>999999999999999</formula2>
    </dataValidation>
    <dataValidation type="whole" allowBlank="1" showInputMessage="1" showErrorMessage="1" promptTitle="Nombre de mois" prompt="Saisir la période en mois. Les équations sont permises (ex. : =7*12)" sqref="J24:J29" xr:uid="{F91FF1EA-4FE7-406F-B1B7-B8AE10FDDFD8}">
      <formula1>1</formula1>
      <formula2>999</formula2>
    </dataValidation>
    <dataValidation type="date" allowBlank="1" showInputMessage="1" showErrorMessage="1" promptTitle="Date" prompt="ex. A-M-J" sqref="H24:H29" xr:uid="{AC64E963-407A-4F67-9226-17E0F065BD50}">
      <formula1>36526</formula1>
      <formula2>401749</formula2>
    </dataValidation>
    <dataValidation type="whole" allowBlank="1" showInputMessage="1" showErrorMessage="1" errorTitle="Not a number" error="Enter the Envelope Contribution for this licence" sqref="E47" xr:uid="{159B71F8-853C-464C-A770-FB1038F2C566}">
      <formula1>0</formula1>
      <formula2>999999999999999</formula2>
    </dataValidation>
    <dataValidation type="decimal" allowBlank="1" showInputMessage="1" showErrorMessage="1" errorTitle="Not a number" error="Enter the Envelope Contribution for this licence" sqref="F25:G25" xr:uid="{03F0A27E-CAE4-4634-96F0-43BFE0B8A784}">
      <formula1>0</formula1>
      <formula2>999999999999999</formula2>
    </dataValidation>
    <dataValidation type="decimal" allowBlank="1" showInputMessage="1" showErrorMessage="1" errorTitle="Not a number" error="Enter the Envelope Contribution for this licence" prompt="SVP entrez les télédiffuseurs en premier, voir note (1) ci-dessus" sqref="E24:G24" xr:uid="{2456CEAB-C3A7-425C-9009-396B03F2BFE5}">
      <formula1>0</formula1>
      <formula2>999999999999999</formula2>
    </dataValidation>
    <dataValidation allowBlank="1" showInputMessage="1" showErrorMessage="1" promptTitle="Entité Int. (CMM)" prompt="Pour E&amp;J : les DDA + la CMM doivent être au moins 75% de l’exigence seuil. Voir aussi la note (3)." sqref="K48" xr:uid="{6E30DC54-643E-4441-A2EF-13345F57A142}"/>
    <dataValidation type="list" allowBlank="1" showInputMessage="1" showErrorMessage="1" sqref="E9:E11 E14" xr:uid="{F9125EBF-759E-4129-878E-F7629C771051}">
      <formula1>$L$77:$L$79</formula1>
    </dataValidation>
    <dataValidation type="custom" showInputMessage="1" showErrorMessage="1" error="SVP ne pas supprimer" sqref="A68 L68" xr:uid="{414FDF6E-A0D3-4012-B43B-7A33A3AEAA5E}">
      <formula1>""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70" fitToHeight="3" orientation="landscape" r:id="rId1"/>
  <headerFooter alignWithMargins="0"/>
  <rowBreaks count="2" manualBreakCount="2">
    <brk id="37" max="10" man="1"/>
    <brk id="65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Drop Down 6">
              <controlPr locked="0" defaultSize="0" autoLine="0" autoPict="0">
                <anchor moveWithCells="1">
                  <from>
                    <xdr:col>0</xdr:col>
                    <xdr:colOff>161925</xdr:colOff>
                    <xdr:row>11</xdr:row>
                    <xdr:rowOff>38100</xdr:rowOff>
                  </from>
                  <to>
                    <xdr:col>3</xdr:col>
                    <xdr:colOff>1066800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Drop Down 5">
              <controlPr locked="0" defaultSize="0" autoLine="0" autoPict="0">
                <anchor moveWithCells="1">
                  <from>
                    <xdr:col>2</xdr:col>
                    <xdr:colOff>19050</xdr:colOff>
                    <xdr:row>3</xdr:row>
                    <xdr:rowOff>266700</xdr:rowOff>
                  </from>
                  <to>
                    <xdr:col>5</xdr:col>
                    <xdr:colOff>771525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  <_dlc_DocId xmlns="dc2e72fa-f2bf-4b7e-897e-98e66666beee">CMFREL-1750552771-3790</_dlc_DocId>
    <_dlc_DocIdUrl xmlns="dc2e72fa-f2bf-4b7e-897e-98e66666beee">
      <Url>https://telefilm.sharepoint.com/sites/TheRebrandGroup/_layouts/15/DocIdRedir.aspx?ID=CMFREL-1750552771-3790</Url>
      <Description>CMFREL-1750552771-3790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D09B89D-B9E3-4997-8CB6-61DA15EEA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5C3807-BA35-4B6B-BBAE-734FE68C8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58206-B560-42EC-A4CC-D7E95417425A}">
  <ds:schemaRefs>
    <ds:schemaRef ds:uri="dc2e72fa-f2bf-4b7e-897e-98e66666beee"/>
    <ds:schemaRef ds:uri="http://schemas.microsoft.com/office/2006/documentManagement/types"/>
    <ds:schemaRef ds:uri="995c7fa0-c7ce-4135-b1bb-e7af7b680b45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45257D9-21A7-4579-AE3E-2027C57BC59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ENGLISH</vt:lpstr>
      <vt:lpstr>FRANÇAIS</vt:lpstr>
      <vt:lpstr>ENGLISH!Zone_d_impression</vt:lpstr>
      <vt:lpstr>FRANÇAIS!Zone_d_impression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2012-05-02T16:23:31Z</dcterms:created>
  <dcterms:modified xsi:type="dcterms:W3CDTF">2025-06-09T14:09:39Z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df2ddf3f-447f-4af4-9d8c-509e394e675e</vt:lpwstr>
  </property>
  <property fmtid="{D5CDD505-2E9C-101B-9397-08002B2CF9AE}" pid="4" name="MediaServiceImageTags">
    <vt:lpwstr/>
  </property>
</Properties>
</file>