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67" documentId="8_{7F19077D-1EE7-41C6-99F5-8006AF26C8EB}" xr6:coauthVersionLast="47" xr6:coauthVersionMax="47" xr10:uidLastSave="{C5147986-09C2-4AE1-AB85-58BB9D1E3DE2}"/>
  <bookViews>
    <workbookView xWindow="28680" yWindow="825" windowWidth="29040" windowHeight="15720" xr2:uid="{00000000-000D-0000-FFFF-FFFF00000000}"/>
  </bookViews>
  <sheets>
    <sheet name="ENGLISH" sheetId="5" r:id="rId1"/>
    <sheet name="FRANÇAIS" sheetId="2" r:id="rId2"/>
  </sheets>
  <definedNames>
    <definedName name="_xlnm.Print_Area" localSheetId="0">ENGLISH!$A$1:$L$91</definedName>
    <definedName name="_xlnm.Print_Area" localSheetId="1">FRANÇAIS!$A$1:$L$88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5" l="1"/>
  <c r="C84" i="2"/>
  <c r="C83" i="2"/>
  <c r="C78" i="2"/>
  <c r="C77" i="2"/>
  <c r="C74" i="2"/>
  <c r="C87" i="5"/>
  <c r="C86" i="5"/>
  <c r="C85" i="5"/>
  <c r="C83" i="5"/>
  <c r="C82" i="5"/>
  <c r="C81" i="5"/>
  <c r="C79" i="5"/>
  <c r="C77" i="5"/>
  <c r="C76" i="5"/>
  <c r="C74" i="5"/>
  <c r="C72" i="5"/>
  <c r="E13" i="2"/>
  <c r="D84" i="2"/>
  <c r="D80" i="2"/>
  <c r="D78" i="2"/>
  <c r="D74" i="2"/>
  <c r="E99" i="5" l="1"/>
  <c r="F99" i="5" s="1"/>
  <c r="G99" i="5" s="1"/>
  <c r="E97" i="5"/>
  <c r="E95" i="5"/>
  <c r="F95" i="5" s="1"/>
  <c r="G95" i="5" s="1"/>
  <c r="D89" i="5"/>
  <c r="E89" i="5" s="1"/>
  <c r="D86" i="5"/>
  <c r="D85" i="5"/>
  <c r="E85" i="5" s="1"/>
  <c r="D84" i="5"/>
  <c r="E84" i="5" s="1"/>
  <c r="D83" i="5"/>
  <c r="E83" i="5" s="1"/>
  <c r="D82" i="5"/>
  <c r="E82" i="5" s="1"/>
  <c r="D81" i="5"/>
  <c r="E81" i="5" s="1"/>
  <c r="D79" i="5"/>
  <c r="D77" i="5"/>
  <c r="E77" i="5" s="1"/>
  <c r="D76" i="5"/>
  <c r="D74" i="5"/>
  <c r="E74" i="5" s="1"/>
  <c r="D73" i="5"/>
  <c r="D72" i="5"/>
  <c r="V66" i="5"/>
  <c r="D66" i="5"/>
  <c r="B66" i="5"/>
  <c r="V64" i="5"/>
  <c r="D64" i="5"/>
  <c r="B64" i="5"/>
  <c r="V62" i="5"/>
  <c r="D62" i="5"/>
  <c r="B62" i="5"/>
  <c r="V60" i="5"/>
  <c r="D60" i="5"/>
  <c r="B60" i="5"/>
  <c r="V58" i="5"/>
  <c r="D58" i="5"/>
  <c r="B58" i="5"/>
  <c r="V56" i="5"/>
  <c r="K56" i="5"/>
  <c r="F58" i="5" s="1"/>
  <c r="D56" i="5"/>
  <c r="B56" i="5"/>
  <c r="F49" i="5"/>
  <c r="E49" i="5"/>
  <c r="Y47" i="5"/>
  <c r="X47" i="5"/>
  <c r="W47" i="5"/>
  <c r="V47" i="5"/>
  <c r="B47" i="5"/>
  <c r="Y46" i="5"/>
  <c r="X46" i="5"/>
  <c r="W46" i="5"/>
  <c r="V46" i="5"/>
  <c r="B46" i="5"/>
  <c r="X45" i="5"/>
  <c r="W45" i="5"/>
  <c r="V45" i="5"/>
  <c r="B45" i="5"/>
  <c r="Y44" i="5"/>
  <c r="X44" i="5"/>
  <c r="B44" i="5"/>
  <c r="Y43" i="5"/>
  <c r="X43" i="5"/>
  <c r="B43" i="5"/>
  <c r="X42" i="5"/>
  <c r="Y45" i="5" s="1"/>
  <c r="F62" i="5" s="1"/>
  <c r="W42" i="5"/>
  <c r="V42" i="5"/>
  <c r="B42" i="5"/>
  <c r="G33" i="5"/>
  <c r="F33" i="5"/>
  <c r="E33" i="5"/>
  <c r="D33" i="5"/>
  <c r="C33" i="5"/>
  <c r="X32" i="5"/>
  <c r="W66" i="5" s="1"/>
  <c r="B67" i="5" s="1"/>
  <c r="I32" i="5"/>
  <c r="X31" i="5"/>
  <c r="W64" i="5" s="1"/>
  <c r="B65" i="5" s="1"/>
  <c r="I31" i="5"/>
  <c r="X30" i="5"/>
  <c r="I30" i="5"/>
  <c r="X29" i="5"/>
  <c r="W60" i="5" s="1"/>
  <c r="B61" i="5" s="1"/>
  <c r="I29" i="5"/>
  <c r="X28" i="5"/>
  <c r="I28" i="5"/>
  <c r="X27" i="5"/>
  <c r="W56" i="5" s="1"/>
  <c r="B57" i="5" s="1"/>
  <c r="I27" i="5"/>
  <c r="C26" i="5"/>
  <c r="E15" i="5"/>
  <c r="E16" i="5" s="1"/>
  <c r="X14" i="5"/>
  <c r="L12" i="5"/>
  <c r="M12" i="5" s="1"/>
  <c r="F9" i="5"/>
  <c r="L7" i="5"/>
  <c r="L8" i="5" s="1"/>
  <c r="L11" i="5" s="1"/>
  <c r="M11" i="5" s="1"/>
  <c r="D87" i="5" l="1"/>
  <c r="H66" i="5"/>
  <c r="H47" i="5" s="1"/>
  <c r="H62" i="5"/>
  <c r="G45" i="5" s="1"/>
  <c r="W62" i="5"/>
  <c r="B63" i="5" s="1"/>
  <c r="H45" i="5" s="1"/>
  <c r="F97" i="5"/>
  <c r="G97" i="5" s="1"/>
  <c r="H56" i="5"/>
  <c r="G42" i="5" s="1"/>
  <c r="D26" i="5"/>
  <c r="H74" i="5"/>
  <c r="I89" i="5"/>
  <c r="G89" i="5"/>
  <c r="W43" i="5"/>
  <c r="V43" i="5"/>
  <c r="H58" i="5"/>
  <c r="G43" i="5" s="1"/>
  <c r="H42" i="5"/>
  <c r="H77" i="5"/>
  <c r="W58" i="5"/>
  <c r="B59" i="5" s="1"/>
  <c r="H43" i="5" s="1"/>
  <c r="F66" i="5"/>
  <c r="E41" i="5"/>
  <c r="H99" i="5" s="1"/>
  <c r="F60" i="5"/>
  <c r="H60" i="5"/>
  <c r="H44" i="5" s="1"/>
  <c r="F64" i="5"/>
  <c r="H64" i="5"/>
  <c r="G46" i="5" s="1"/>
  <c r="K42" i="5" l="1"/>
  <c r="G47" i="5"/>
  <c r="H97" i="5"/>
  <c r="B97" i="5" s="1"/>
  <c r="H46" i="5"/>
  <c r="H48" i="5" s="1"/>
  <c r="I99" i="5"/>
  <c r="J99" i="5" s="1"/>
  <c r="B99" i="5"/>
  <c r="G44" i="5"/>
  <c r="L42" i="5"/>
  <c r="V44" i="5"/>
  <c r="W44" i="5"/>
  <c r="F41" i="5"/>
  <c r="M42" i="5"/>
  <c r="H95" i="5"/>
  <c r="G48" i="5" l="1"/>
  <c r="E87" i="5" s="1"/>
  <c r="E86" i="5"/>
  <c r="I97" i="5"/>
  <c r="J97" i="5" s="1"/>
  <c r="E79" i="5"/>
  <c r="E73" i="5"/>
  <c r="H73" i="5" s="1"/>
  <c r="E76" i="5"/>
  <c r="H76" i="5" s="1"/>
  <c r="C99" i="5"/>
  <c r="D99" i="5" s="1"/>
  <c r="I95" i="5"/>
  <c r="J95" i="5" s="1"/>
  <c r="B95" i="5"/>
  <c r="E72" i="5"/>
  <c r="J49" i="5" l="1"/>
  <c r="K49" i="5"/>
  <c r="I52" i="5"/>
  <c r="H52" i="5"/>
  <c r="C97" i="5"/>
  <c r="D97" i="5" s="1"/>
  <c r="C95" i="5"/>
  <c r="D95" i="5" s="1"/>
  <c r="E48" i="5"/>
  <c r="H72" i="5"/>
  <c r="I48" i="5" s="1"/>
  <c r="I87" i="5" s="1"/>
  <c r="I72" i="5"/>
  <c r="I86" i="5" l="1"/>
  <c r="I85" i="5"/>
  <c r="I84" i="5"/>
  <c r="I83" i="5"/>
  <c r="I82" i="5"/>
  <c r="I81" i="5"/>
  <c r="I79" i="5"/>
  <c r="I77" i="5"/>
  <c r="I76" i="5"/>
  <c r="I74" i="5"/>
  <c r="I73" i="5"/>
  <c r="I45" i="5"/>
  <c r="I43" i="5"/>
  <c r="I46" i="5"/>
  <c r="I44" i="5"/>
  <c r="I47" i="5"/>
  <c r="E42" i="5"/>
  <c r="E50" i="5"/>
  <c r="E44" i="5"/>
  <c r="E45" i="5"/>
  <c r="C41" i="5"/>
  <c r="D41" i="5" s="1"/>
  <c r="E47" i="5"/>
  <c r="C48" i="5"/>
  <c r="E46" i="5"/>
  <c r="E43" i="5"/>
  <c r="J48" i="5" l="1"/>
  <c r="G73" i="5"/>
  <c r="F42" i="5"/>
  <c r="F43" i="5"/>
  <c r="F46" i="5"/>
  <c r="C46" i="5"/>
  <c r="D46" i="5" s="1"/>
  <c r="C43" i="5"/>
  <c r="D43" i="5" s="1"/>
  <c r="C42" i="5"/>
  <c r="D42" i="5" s="1"/>
  <c r="C50" i="5"/>
  <c r="C44" i="5"/>
  <c r="D44" i="5" s="1"/>
  <c r="C45" i="5"/>
  <c r="D45" i="5" s="1"/>
  <c r="C47" i="5"/>
  <c r="D47" i="5" s="1"/>
  <c r="D48" i="5"/>
  <c r="D50" i="5" s="1"/>
  <c r="F47" i="5"/>
  <c r="F45" i="5"/>
  <c r="F44" i="5"/>
  <c r="G86" i="5" l="1"/>
  <c r="G87" i="5"/>
  <c r="G84" i="5"/>
  <c r="G85" i="5"/>
  <c r="G82" i="5"/>
  <c r="G83" i="5"/>
  <c r="G79" i="5"/>
  <c r="G81" i="5"/>
  <c r="K48" i="5"/>
  <c r="G77" i="5"/>
  <c r="G74" i="5"/>
  <c r="J46" i="5"/>
  <c r="M46" i="5" s="1"/>
  <c r="J43" i="5"/>
  <c r="K43" i="5" s="1"/>
  <c r="J44" i="5"/>
  <c r="L44" i="5" s="1"/>
  <c r="J47" i="5"/>
  <c r="M47" i="5" s="1"/>
  <c r="J45" i="5"/>
  <c r="M45" i="5" s="1"/>
  <c r="G72" i="5"/>
  <c r="G76" i="5"/>
  <c r="F48" i="5"/>
  <c r="F50" i="5" s="1"/>
  <c r="L47" i="5" l="1"/>
  <c r="L45" i="5"/>
  <c r="K47" i="5"/>
  <c r="K45" i="5"/>
  <c r="L46" i="5"/>
  <c r="K46" i="5"/>
  <c r="K44" i="5"/>
  <c r="M44" i="5"/>
  <c r="L43" i="5"/>
  <c r="M43" i="5"/>
  <c r="D76" i="2"/>
  <c r="M48" i="5" l="1"/>
  <c r="L48" i="5"/>
  <c r="C26" i="2"/>
  <c r="V65" i="2" l="1"/>
  <c r="V63" i="2"/>
  <c r="V61" i="2"/>
  <c r="V59" i="2"/>
  <c r="V57" i="2"/>
  <c r="V55" i="2"/>
  <c r="D65" i="2"/>
  <c r="B65" i="2"/>
  <c r="D63" i="2"/>
  <c r="B63" i="2"/>
  <c r="D61" i="2"/>
  <c r="B61" i="2"/>
  <c r="D59" i="2"/>
  <c r="B59" i="2"/>
  <c r="D57" i="2"/>
  <c r="B57" i="2"/>
  <c r="L55" i="2"/>
  <c r="D55" i="2"/>
  <c r="B55" i="2"/>
  <c r="X32" i="2"/>
  <c r="I65" i="2" s="1"/>
  <c r="X31" i="2"/>
  <c r="I63" i="2" s="1"/>
  <c r="X30" i="2"/>
  <c r="X29" i="2"/>
  <c r="X28" i="2"/>
  <c r="X27" i="2"/>
  <c r="W59" i="2" l="1"/>
  <c r="B60" i="2" s="1"/>
  <c r="I59" i="2"/>
  <c r="G44" i="2" s="1"/>
  <c r="W57" i="2"/>
  <c r="B58" i="2" s="1"/>
  <c r="I57" i="2"/>
  <c r="W61" i="2"/>
  <c r="B62" i="2" s="1"/>
  <c r="I61" i="2"/>
  <c r="G45" i="2" s="1"/>
  <c r="W55" i="2"/>
  <c r="B56" i="2" s="1"/>
  <c r="I55" i="2"/>
  <c r="G42" i="2" s="1"/>
  <c r="G47" i="2"/>
  <c r="W65" i="2"/>
  <c r="B66" i="2" s="1"/>
  <c r="W63" i="2"/>
  <c r="B64" i="2" s="1"/>
  <c r="H46" i="2" s="1"/>
  <c r="G46" i="2"/>
  <c r="D26" i="2"/>
  <c r="H42" i="2" l="1"/>
  <c r="H47" i="2"/>
  <c r="H45" i="2"/>
  <c r="H44" i="2"/>
  <c r="L42" i="2" l="1"/>
  <c r="G33" i="2"/>
  <c r="F33" i="2"/>
  <c r="E33" i="2"/>
  <c r="D33" i="2"/>
  <c r="I27" i="2"/>
  <c r="I28" i="2"/>
  <c r="I29" i="2"/>
  <c r="I30" i="2"/>
  <c r="I31" i="2"/>
  <c r="E14" i="2"/>
  <c r="C40" i="2" l="1"/>
  <c r="K42" i="2"/>
  <c r="E94" i="2" l="1"/>
  <c r="F94" i="2" l="1"/>
  <c r="D86" i="2" l="1"/>
  <c r="D82" i="2"/>
  <c r="E82" i="2" s="1"/>
  <c r="E80" i="2"/>
  <c r="D73" i="2"/>
  <c r="D72" i="2"/>
  <c r="E76" i="2" l="1"/>
  <c r="H76" i="2" s="1"/>
  <c r="E78" i="2"/>
  <c r="H78" i="2" s="1"/>
  <c r="C33" i="2"/>
  <c r="Y14" i="2" s="1"/>
  <c r="X47" i="2"/>
  <c r="W47" i="2"/>
  <c r="X46" i="2"/>
  <c r="W46" i="2"/>
  <c r="X45" i="2"/>
  <c r="W45" i="2"/>
  <c r="X44" i="2"/>
  <c r="X43" i="2"/>
  <c r="X42" i="2"/>
  <c r="Y47" i="2" s="1"/>
  <c r="F65" i="2" s="1"/>
  <c r="W42" i="2"/>
  <c r="V42" i="2"/>
  <c r="Y45" i="2" l="1"/>
  <c r="F61" i="2" s="1"/>
  <c r="Y43" i="2"/>
  <c r="Y46" i="2"/>
  <c r="F63" i="2" s="1"/>
  <c r="Y44" i="2"/>
  <c r="F59" i="2" s="1"/>
  <c r="W44" i="2" s="1"/>
  <c r="F57" i="2" l="1"/>
  <c r="E92" i="2"/>
  <c r="E41" i="2" l="1"/>
  <c r="W43" i="2"/>
  <c r="H43" i="2"/>
  <c r="H48" i="2" s="1"/>
  <c r="G43" i="2"/>
  <c r="G48" i="2" s="1"/>
  <c r="E86" i="2" s="1"/>
  <c r="F92" i="2"/>
  <c r="G94" i="2"/>
  <c r="E84" i="2" l="1"/>
  <c r="E72" i="2"/>
  <c r="E73" i="2"/>
  <c r="E74" i="2"/>
  <c r="F41" i="2"/>
  <c r="L11" i="2" l="1"/>
  <c r="M11" i="2" s="1"/>
  <c r="I32" i="2" l="1"/>
  <c r="F9" i="2" l="1"/>
  <c r="L7" i="2"/>
  <c r="D83" i="2" s="1"/>
  <c r="E83" i="2" s="1"/>
  <c r="V45" i="2"/>
  <c r="V47" i="2"/>
  <c r="V46" i="2"/>
  <c r="B42" i="2"/>
  <c r="B43" i="2"/>
  <c r="B44" i="2"/>
  <c r="B45" i="2"/>
  <c r="B46" i="2"/>
  <c r="B47" i="2"/>
  <c r="H92" i="2" l="1"/>
  <c r="H94" i="2"/>
  <c r="I94" i="2" s="1"/>
  <c r="J94" i="2" s="1"/>
  <c r="D77" i="2"/>
  <c r="E77" i="2" s="1"/>
  <c r="H77" i="2" s="1"/>
  <c r="B94" i="2"/>
  <c r="I92" i="2"/>
  <c r="J92" i="2" s="1"/>
  <c r="L8" i="2"/>
  <c r="I52" i="2" l="1"/>
  <c r="H52" i="2"/>
  <c r="B92" i="2"/>
  <c r="E48" i="2" s="1"/>
  <c r="M42" i="2"/>
  <c r="L10" i="2"/>
  <c r="M10" i="2" s="1"/>
  <c r="V43" i="2"/>
  <c r="V44" i="2"/>
  <c r="C48" i="2" l="1"/>
  <c r="C50" i="2" s="1"/>
  <c r="C41" i="2"/>
  <c r="J49" i="2"/>
  <c r="H74" i="2" l="1"/>
  <c r="H73" i="2"/>
  <c r="I86" i="2"/>
  <c r="I71" i="2" l="1"/>
  <c r="G92" i="2" l="1"/>
  <c r="C92" i="2" l="1"/>
  <c r="D92" i="2" s="1"/>
  <c r="F49" i="2"/>
  <c r="E49" i="2"/>
  <c r="C94" i="2" l="1"/>
  <c r="D94" i="2" s="1"/>
  <c r="E44" i="2" l="1"/>
  <c r="D41" i="2"/>
  <c r="E50" i="2"/>
  <c r="E45" i="2"/>
  <c r="E46" i="2"/>
  <c r="E43" i="2"/>
  <c r="E47" i="2"/>
  <c r="E42" i="2"/>
  <c r="F46" i="2" l="1"/>
  <c r="F43" i="2"/>
  <c r="C44" i="2"/>
  <c r="D44" i="2" s="1"/>
  <c r="C42" i="2"/>
  <c r="D42" i="2" s="1"/>
  <c r="C43" i="2"/>
  <c r="D43" i="2" s="1"/>
  <c r="C46" i="2"/>
  <c r="D46" i="2" s="1"/>
  <c r="C45" i="2"/>
  <c r="D45" i="2" s="1"/>
  <c r="C47" i="2"/>
  <c r="D47" i="2" s="1"/>
  <c r="F45" i="2"/>
  <c r="D48" i="2"/>
  <c r="D50" i="2" s="1"/>
  <c r="F42" i="2"/>
  <c r="F47" i="2"/>
  <c r="F44" i="2"/>
  <c r="F48" i="2" l="1"/>
  <c r="F50" i="2" s="1"/>
  <c r="H72" i="2" l="1"/>
  <c r="I48" i="2" s="1"/>
  <c r="K49" i="2"/>
  <c r="I84" i="2" l="1"/>
  <c r="I83" i="2"/>
  <c r="I73" i="2"/>
  <c r="I80" i="2"/>
  <c r="I76" i="2"/>
  <c r="I82" i="2"/>
  <c r="I72" i="2"/>
  <c r="I77" i="2" l="1"/>
  <c r="I78" i="2" l="1"/>
  <c r="I74" i="2"/>
  <c r="I45" i="2"/>
  <c r="I44" i="2"/>
  <c r="I47" i="2"/>
  <c r="I43" i="2"/>
  <c r="I46" i="2"/>
  <c r="J48" i="2" l="1"/>
  <c r="G86" i="2" s="1"/>
  <c r="G77" i="2"/>
  <c r="G78" i="2"/>
  <c r="G83" i="2" l="1"/>
  <c r="G84" i="2"/>
  <c r="G80" i="2"/>
  <c r="G82" i="2"/>
  <c r="G72" i="2"/>
  <c r="G76" i="2"/>
  <c r="J46" i="2"/>
  <c r="M46" i="2" s="1"/>
  <c r="G73" i="2"/>
  <c r="J44" i="2"/>
  <c r="K44" i="2" s="1"/>
  <c r="J45" i="2"/>
  <c r="G74" i="2"/>
  <c r="J47" i="2"/>
  <c r="L47" i="2" s="1"/>
  <c r="K48" i="2"/>
  <c r="J43" i="2"/>
  <c r="M43" i="2" s="1"/>
  <c r="L46" i="2" l="1"/>
  <c r="M44" i="2"/>
  <c r="K46" i="2"/>
  <c r="K47" i="2"/>
  <c r="L44" i="2"/>
  <c r="M47" i="2"/>
  <c r="K45" i="2"/>
  <c r="L45" i="2"/>
  <c r="M45" i="2"/>
  <c r="L43" i="2"/>
  <c r="K43" i="2"/>
  <c r="L48" i="2" l="1"/>
  <c r="M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7" authorId="0" shapeId="0" xr:uid="{6675EE54-0842-4856-B3C9-0D62CD104DA2}">
      <text>
        <r>
          <rPr>
            <b/>
            <sz val="9"/>
            <color indexed="81"/>
            <rFont val="Tahoma"/>
            <family val="2"/>
          </rPr>
          <t xml:space="preserve">Must be Canadian eligible costs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6E3A3D57-5EB7-437B-AADD-3A8D0EB12D8E}">
      <text>
        <r>
          <rPr>
            <sz val="9"/>
            <color indexed="81"/>
            <rFont val="Tahoma"/>
            <family val="2"/>
          </rPr>
          <t xml:space="preserve">Knowledge Network, Télé-Québec, TFO and TVO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7" authorId="0" shapeId="0" xr:uid="{541D1876-5A87-41EC-932E-20E7D63A361D}">
      <text>
        <r>
          <rPr>
            <b/>
            <sz val="9"/>
            <color indexed="81"/>
            <rFont val="Tahoma"/>
            <family val="2"/>
          </rPr>
          <t>Doit correspondre aux dépenses admissibles canadiennes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1767CBD1-3518-46E1-98FC-E39D7082854B}">
      <text>
        <r>
          <rPr>
            <sz val="9"/>
            <color indexed="81"/>
            <rFont val="Tahoma"/>
            <family val="2"/>
          </rPr>
          <t>Knowledge Network, Télé-Québec, TFO et TVO</t>
        </r>
      </text>
    </comment>
  </commentList>
</comments>
</file>

<file path=xl/sharedStrings.xml><?xml version="1.0" encoding="utf-8"?>
<sst xmlns="http://schemas.openxmlformats.org/spreadsheetml/2006/main" count="362" uniqueCount="242">
  <si>
    <t>Project
Name:</t>
  </si>
  <si>
    <t>Project No:</t>
  </si>
  <si>
    <t>Budget/Final Cost</t>
  </si>
  <si>
    <t>Number of Episodes</t>
  </si>
  <si>
    <t>Episode Length 
(in Min.)</t>
  </si>
  <si>
    <t>Total Hours</t>
  </si>
  <si>
    <t xml:space="preserve">Budget/Hour </t>
  </si>
  <si>
    <t>Are all Broadcasters Educational?</t>
  </si>
  <si>
    <t>No</t>
  </si>
  <si>
    <t>Yes</t>
  </si>
  <si>
    <t>Carbon calculator required?</t>
  </si>
  <si>
    <t>Described video required?</t>
  </si>
  <si>
    <t>Budget Category (Genre)</t>
  </si>
  <si>
    <r>
      <t xml:space="preserve">Start of Term Date </t>
    </r>
    <r>
      <rPr>
        <b/>
        <sz val="10"/>
        <color rgb="FF1F497D"/>
        <rFont val="Calibri"/>
        <family val="2"/>
        <scheme val="minor"/>
      </rPr>
      <t>(1)</t>
    </r>
  </si>
  <si>
    <t>End of Term Date</t>
  </si>
  <si>
    <t>Term Length
(in Months)</t>
  </si>
  <si>
    <t>Language</t>
  </si>
  <si>
    <t># 1</t>
  </si>
  <si>
    <t># 2</t>
  </si>
  <si>
    <t># 3</t>
  </si>
  <si>
    <t># 4</t>
  </si>
  <si>
    <t># 5</t>
  </si>
  <si>
    <t># 6</t>
  </si>
  <si>
    <t>Notes:</t>
  </si>
  <si>
    <t xml:space="preserve">CMF Contribution </t>
  </si>
  <si>
    <t>% CMF Contribution of Budget</t>
  </si>
  <si>
    <t>N/A</t>
  </si>
  <si>
    <t xml:space="preserve"> </t>
  </si>
  <si>
    <t>÷</t>
  </si>
  <si>
    <t>x</t>
  </si>
  <si>
    <t>=</t>
  </si>
  <si>
    <t>Last Day of Maximum Term:</t>
  </si>
  <si>
    <t>Term Months</t>
  </si>
  <si>
    <t>Maximum Term</t>
  </si>
  <si>
    <t>Pro-Rated Amount</t>
  </si>
  <si>
    <t>Budget Category</t>
  </si>
  <si>
    <t>Formula</t>
  </si>
  <si>
    <t>Calculated Amount</t>
  </si>
  <si>
    <t xml:space="preserve">Threshold Respected? </t>
  </si>
  <si>
    <t>Over OR
 (Shortfall)</t>
  </si>
  <si>
    <t xml:space="preserve">     * CHILDREN &amp; YOUTH *</t>
  </si>
  <si>
    <t>100% Animated Eligible Projects</t>
  </si>
  <si>
    <t>Theatrically-released Animated Feature Films</t>
  </si>
  <si>
    <t xml:space="preserve">     * DOCUMENTARY *</t>
  </si>
  <si>
    <t xml:space="preserve">     * DRAMA *</t>
  </si>
  <si>
    <t>All projects less than $800,000/hour</t>
  </si>
  <si>
    <t>Series or one-off equal/more than $800,000/hour</t>
  </si>
  <si>
    <t>Theatrically-released Feature Films</t>
  </si>
  <si>
    <t>1/2-hour pilot greater than $700,000 per 1/2hour</t>
  </si>
  <si>
    <t>1-hour pilot greater than $1,750,000/hour</t>
  </si>
  <si>
    <t xml:space="preserve">     * VAPA *</t>
  </si>
  <si>
    <t>Maximum CMF Contribution:</t>
  </si>
  <si>
    <t xml:space="preserve">CMF Contribution    </t>
  </si>
  <si>
    <t>CMF Maximum</t>
  </si>
  <si>
    <t>Max. Contribution Respected?</t>
  </si>
  <si>
    <t>Over</t>
  </si>
  <si>
    <t xml:space="preserve">BEP Maximum </t>
  </si>
  <si>
    <t>Titre du projet :</t>
  </si>
  <si>
    <t>No du projet :</t>
  </si>
  <si>
    <t>Date :</t>
  </si>
  <si>
    <t>Complétez toutes les cellules vertes</t>
  </si>
  <si>
    <t>Catégorie de devis :</t>
  </si>
  <si>
    <t>Devis/Coût final de production</t>
  </si>
  <si>
    <t>Nombre 
d'épisodes</t>
  </si>
  <si>
    <t>Durée des épisodes
(en min.)</t>
  </si>
  <si>
    <t>Nombre total d'heures</t>
  </si>
  <si>
    <t>Devis/Heure</t>
  </si>
  <si>
    <t>Les diffuseurs sont-ils tous éducatifs ?</t>
  </si>
  <si>
    <t>Non</t>
  </si>
  <si>
    <t>Oui</t>
  </si>
  <si>
    <t>Calculateur de carbone requis ?</t>
  </si>
  <si>
    <t>Vidéodescription requise?</t>
  </si>
  <si>
    <t>Contribution du PCAR</t>
  </si>
  <si>
    <r>
      <t xml:space="preserve">Date de début de la période </t>
    </r>
    <r>
      <rPr>
        <b/>
        <sz val="10"/>
        <color rgb="FF1F497D"/>
        <rFont val="Calibri"/>
        <family val="2"/>
        <scheme val="minor"/>
      </rPr>
      <t>(1)</t>
    </r>
  </si>
  <si>
    <t>Date de fin de la période</t>
  </si>
  <si>
    <t>Durée de la période (en mois)</t>
  </si>
  <si>
    <r>
      <rPr>
        <b/>
        <sz val="10"/>
        <color rgb="FF000000"/>
        <rFont val="Calibri"/>
        <family val="2"/>
      </rPr>
      <t xml:space="preserve">Exclusivité 
(en mois) </t>
    </r>
    <r>
      <rPr>
        <b/>
        <sz val="10"/>
        <color rgb="FF1F497D"/>
        <rFont val="Calibri"/>
        <family val="2"/>
      </rPr>
      <t>(2)</t>
    </r>
  </si>
  <si>
    <t>Langue</t>
  </si>
  <si>
    <t>PCAR $</t>
  </si>
  <si>
    <t>n° 1</t>
  </si>
  <si>
    <t>n° 2</t>
  </si>
  <si>
    <t>n° 3</t>
  </si>
  <si>
    <t>n° 4</t>
  </si>
  <si>
    <t>n° 5</t>
  </si>
  <si>
    <t>n° 6</t>
  </si>
  <si>
    <t>Totaux :</t>
  </si>
  <si>
    <t>Remarques :</t>
  </si>
  <si>
    <t xml:space="preserve">Montant admissible de la participation au capital </t>
  </si>
  <si>
    <t>Contribution  FMC admissible</t>
  </si>
  <si>
    <t xml:space="preserve"> % Contribution du FMC sur le devis</t>
  </si>
  <si>
    <t>Surplus
Montants non déclencheurs</t>
  </si>
  <si>
    <t>Durée ajustée</t>
  </si>
  <si>
    <t>Durée d'exclusivité  ajustée</t>
  </si>
  <si>
    <t>Date révisée du début de la durée</t>
  </si>
  <si>
    <t>S/O</t>
  </si>
  <si>
    <t>Total :</t>
  </si>
  <si>
    <t>Dernier jour de la durée maximale</t>
  </si>
  <si>
    <t>Durée 
(en mois)</t>
  </si>
  <si>
    <t>Durée maximale</t>
  </si>
  <si>
    <t>Montant proportionnel</t>
  </si>
  <si>
    <t>Catégorie de devis</t>
  </si>
  <si>
    <t>Formule</t>
  </si>
  <si>
    <t>Calcul du montant</t>
  </si>
  <si>
    <t xml:space="preserve">Exigence seuil respectée ? </t>
  </si>
  <si>
    <t>Montant excédentaire OU (insuffisant)</t>
  </si>
  <si>
    <t>* Émissions pour enfants et jeunes *</t>
  </si>
  <si>
    <t>Tournage en direct</t>
  </si>
  <si>
    <t>Animation (excl. longs métrages d'animation lancés en salle)</t>
  </si>
  <si>
    <t>Longs métrages d’animation lancés en salle</t>
  </si>
  <si>
    <t>* Documentaires *</t>
  </si>
  <si>
    <r>
      <t>Devis jusqu'à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</si>
  <si>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r>
      <t>Devis supérieur à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</si>
  <si>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t>Long métrage documentaire</t>
  </si>
  <si>
    <t>* Variétés et Arts de la scène *</t>
  </si>
  <si>
    <t>Toutes les émisisons</t>
  </si>
  <si>
    <t>* Dramatiques *</t>
  </si>
  <si>
    <t>Devis égal ou supérieur à 800 000 $/heure</t>
  </si>
  <si>
    <t>Mesure incitative pour les projets nordiques</t>
  </si>
  <si>
    <t>Téléfilms</t>
  </si>
  <si>
    <t>Mesure incitative pour la production régionale de langue française au Québec</t>
  </si>
  <si>
    <t>* Animation *</t>
  </si>
  <si>
    <t>Toutes les émissions excl. les émisisons pour Enfants et jeunes</t>
  </si>
  <si>
    <t>Contributions maximales :</t>
  </si>
  <si>
    <t>Contribution FMC</t>
  </si>
  <si>
    <t>PCAR</t>
  </si>
  <si>
    <t>Maximum
FMC</t>
  </si>
  <si>
    <t>Contribution maximale
respectée ?</t>
  </si>
  <si>
    <t>Montant excédentaire</t>
  </si>
  <si>
    <t xml:space="preserve">Maximum </t>
  </si>
  <si>
    <t>Contribution maximale respectée ?</t>
  </si>
  <si>
    <t xml:space="preserve">Maximum          </t>
  </si>
  <si>
    <t>*Tous les genres sauf dramatiques et animation*</t>
  </si>
  <si>
    <t>60 %
(max 550 000 $) 
(84% si combiné)</t>
  </si>
  <si>
    <t>*Dramatiques et Animation*</t>
  </si>
  <si>
    <t>60 %
(max 750 000 $) 
(84% si combiné)</t>
  </si>
  <si>
    <t>***</t>
  </si>
  <si>
    <t xml:space="preserve">15 % des dépenses admissibles (max. 225 000 $)
</t>
  </si>
  <si>
    <t>30 % des dépenses admissibles (max. 200 000 $)</t>
  </si>
  <si>
    <r>
      <t>Is this application combined with the Broadcaster Envelope Program</t>
    </r>
    <r>
      <rPr>
        <b/>
        <sz val="10"/>
        <rFont val="Calibri"/>
        <family val="2"/>
        <scheme val="minor"/>
      </rPr>
      <t>?</t>
    </r>
  </si>
  <si>
    <t>PBRC Contribution</t>
  </si>
  <si>
    <t>PBRC $</t>
  </si>
  <si>
    <t xml:space="preserve">Télédiffuseur
étranger/
programmé
</t>
  </si>
  <si>
    <r>
      <t>Nom du télédiffuseur</t>
    </r>
    <r>
      <rPr>
        <b/>
        <sz val="10"/>
        <color rgb="FF000000"/>
        <rFont val="Calibri"/>
        <family val="2"/>
        <scheme val="minor"/>
      </rPr>
      <t xml:space="preserve">
ou Distributeur canadien admissible
ou Entité Internationale admissible
ou télédiffuseur étranger/programmé</t>
    </r>
  </si>
  <si>
    <r>
      <t>Broadcaster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
Or foreign/scheduled broadcaster</t>
    </r>
  </si>
  <si>
    <t>Maximum  Investment</t>
  </si>
  <si>
    <t>PBRC</t>
  </si>
  <si>
    <t>Devis inférieur à 800 000 $/heure</t>
  </si>
  <si>
    <t>Live-action</t>
  </si>
  <si>
    <t>All projects</t>
  </si>
  <si>
    <t>* ANIMATION *</t>
  </si>
  <si>
    <t>All projects excluding Children and Youth programming</t>
  </si>
  <si>
    <t xml:space="preserve">60 %
(max 550 000 $) 
Combined Programs 84% </t>
  </si>
  <si>
    <t xml:space="preserve">60 %
(max 750 000 $) 
Combined Programs 84% </t>
  </si>
  <si>
    <t>Feature-length
documentary</t>
  </si>
  <si>
    <t>*Drama*</t>
  </si>
  <si>
    <t>*All Projects excluding Drama and Animation*</t>
  </si>
  <si>
    <t>*Animation*</t>
  </si>
  <si>
    <t>Foreign /scheduled broadcaster</t>
  </si>
  <si>
    <r>
      <t>All projects (</t>
    </r>
    <r>
      <rPr>
        <u/>
        <sz val="9"/>
        <rFont val="Calibri"/>
        <family val="2"/>
        <scheme val="minor"/>
      </rPr>
      <t>excluding feature-length documentaries</t>
    </r>
    <r>
      <rPr>
        <sz val="9"/>
        <rFont val="Calibri"/>
        <family val="2"/>
        <scheme val="minor"/>
      </rPr>
      <t>)</t>
    </r>
  </si>
  <si>
    <r>
      <t xml:space="preserve">Canadian
Licence Fee </t>
    </r>
    <r>
      <rPr>
        <b/>
        <sz val="10"/>
        <color rgb="FF1F497D"/>
        <rFont val="Calibri"/>
        <family val="2"/>
      </rPr>
      <t>(1)*</t>
    </r>
  </si>
  <si>
    <t>International Entity</t>
  </si>
  <si>
    <t>Foreign/ scheduled broadcaster</t>
  </si>
  <si>
    <t>Entité Internationale</t>
  </si>
  <si>
    <t>Télédiffuseur étranger/ programmé</t>
  </si>
  <si>
    <t>MOW or miniseries $800,000/hour to $1,857,143/hour</t>
  </si>
  <si>
    <t>MOW or miniseries more than $1,857,143/hour</t>
  </si>
  <si>
    <r>
      <t xml:space="preserve">Broadcaster 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
Or foreign/scheduled broadcaster</t>
    </r>
  </si>
  <si>
    <t>Please complete all green cells</t>
  </si>
  <si>
    <r>
      <rPr>
        <b/>
        <sz val="12"/>
        <rFont val="Calibri"/>
        <family val="2"/>
        <scheme val="minor"/>
      </rPr>
      <t>2026-2027 - Feuille de calcul des exigences seuil pour les engagements admissibles du marché, de la contribution et durée maximale</t>
    </r>
    <r>
      <rPr>
        <b/>
        <sz val="14"/>
        <rFont val="Calibri"/>
        <family val="2"/>
        <scheme val="minor"/>
      </rPr>
      <t xml:space="preserve">
• Programme destiné aux communautés afro-descendantes et racisées (PCAR) • 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* see different sheet at the bottom for an English project</t>
    </r>
  </si>
  <si>
    <r>
      <t>Montant de l'allocation d'enveloppe excédentaire/(</t>
    </r>
    <r>
      <rPr>
        <b/>
        <sz val="10"/>
        <color rgb="FFFF0000"/>
        <rFont val="Calibri"/>
        <family val="2"/>
        <scheme val="minor"/>
      </rPr>
      <t>insuffisant</t>
    </r>
    <r>
      <rPr>
        <b/>
        <sz val="10"/>
        <color rgb="FF000000"/>
        <rFont val="Calibri"/>
        <family val="2"/>
        <scheme val="minor"/>
      </rPr>
      <t>) :</t>
    </r>
  </si>
  <si>
    <t xml:space="preserve">Allocation minimale requise d’enveloppe de langue française </t>
  </si>
  <si>
    <t>*Rappel, section 3.2 du Guide des enveloppes des télédiffuseurs : pour avoir recours aux enveloppes de l’accès parallèle, il faudra avoir obtenu un droit de diffusion admissible d’au moins 5 000 $ au moment du dépôt de la demande</t>
  </si>
  <si>
    <t>*Rappel, section 3.2 du Guide des enveloppes des distributeurs : pour avoir recours aux enveloppes de l’accès parallèle, il faudra verser une Avance de distribution admissible d’au moins 5 000 $ au moment du dépôt de la demande</t>
  </si>
  <si>
    <t>Programme des enveloppes 
des télédiffuseurs et des distributeurs</t>
  </si>
  <si>
    <r>
      <t xml:space="preserve">Nom du télédiffuseur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 xml:space="preserve">
ou Distributeur canadien admissible
ou Entité internationale admissible</t>
    </r>
  </si>
  <si>
    <r>
      <t xml:space="preserve">Contribution FMC -
</t>
    </r>
    <r>
      <rPr>
        <b/>
        <sz val="8"/>
        <color rgb="FF1F497D"/>
        <rFont val="Calibri"/>
        <family val="2"/>
        <scheme val="minor"/>
      </rPr>
      <t>Env. des télédiffuseurs et des distributeurs</t>
    </r>
  </si>
  <si>
    <r>
      <t xml:space="preserve">Droits de diffusion admissibles </t>
    </r>
    <r>
      <rPr>
        <b/>
        <sz val="10"/>
        <color theme="3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>*</t>
    </r>
  </si>
  <si>
    <r>
      <t>Avance de distribution admissible</t>
    </r>
    <r>
      <rPr>
        <b/>
        <sz val="10"/>
        <color theme="3"/>
        <rFont val="Calibri"/>
        <family val="2"/>
        <scheme val="minor"/>
      </rPr>
      <t xml:space="preserve"> (1)</t>
    </r>
    <r>
      <rPr>
        <b/>
        <sz val="10"/>
        <rFont val="Calibri"/>
        <family val="2"/>
        <scheme val="minor"/>
      </rPr>
      <t>*</t>
    </r>
  </si>
  <si>
    <r>
      <t xml:space="preserve">Entité internationale
(droits int.)
</t>
    </r>
    <r>
      <rPr>
        <sz val="10"/>
        <rFont val="Calibri"/>
        <family val="2"/>
        <scheme val="minor"/>
      </rPr>
      <t>Enfants et jeunes Documentaires</t>
    </r>
  </si>
  <si>
    <t>Durées maximales, contributions des programmes des enveloppes, Droits de diffusion admissibles (« DDA ») et Avance de distribution admissible (« ADA ») et Engagement financier admissible (« EFA ») :</t>
  </si>
  <si>
    <t>Télédiffuseur
(DDA)</t>
  </si>
  <si>
    <t>Distributeur
(ADA)</t>
  </si>
  <si>
    <r>
      <t xml:space="preserve">Entité internationale (EFA) </t>
    </r>
    <r>
      <rPr>
        <b/>
        <sz val="10"/>
        <color rgb="FF1F497D"/>
        <rFont val="Calibri"/>
        <family val="2"/>
        <scheme val="minor"/>
      </rPr>
      <t>(2)</t>
    </r>
  </si>
  <si>
    <t>Total des engagements admissibles du marché</t>
  </si>
  <si>
    <r>
      <t>Territoire du Distributeur</t>
    </r>
    <r>
      <rPr>
        <b/>
        <sz val="10"/>
        <color rgb="FF1F497D"/>
        <rFont val="Calibri"/>
        <family val="2"/>
        <scheme val="minor"/>
      </rPr>
      <t xml:space="preserve">
</t>
    </r>
    <r>
      <rPr>
        <b/>
        <sz val="9"/>
        <color rgb="FF1F497D"/>
        <rFont val="Calibri"/>
        <family val="2"/>
        <scheme val="minor"/>
      </rPr>
      <t>(SVP Utilisez la liste déroulante)</t>
    </r>
  </si>
  <si>
    <r>
      <t xml:space="preserve">Le Distributeur est-il apparenté au Requérant?
</t>
    </r>
    <r>
      <rPr>
        <b/>
        <sz val="10"/>
        <color rgb="FF1F497D"/>
        <rFont val="Calibri"/>
        <family val="2"/>
        <scheme val="minor"/>
      </rPr>
      <t>(SVP Utilisez la liste déroulante)</t>
    </r>
  </si>
  <si>
    <t>Doit être complété pour les
distributeurs</t>
  </si>
  <si>
    <t>Canadien</t>
  </si>
  <si>
    <t>International</t>
  </si>
  <si>
    <t>Calcul de la durée maximale des droits de diffusion et des avances de distribution admissibles :</t>
  </si>
  <si>
    <t>(2): Seuls l’EFA permis apparaîtra dans la colonne « Entité internationale », et seuls les télédiffuseurs étrangers/programmés permis apparaîtront dans la colonne « Télédiffuseur étranger/programmé ».</t>
  </si>
  <si>
    <r>
      <t xml:space="preserve">(1) : Entrez </t>
    </r>
    <r>
      <rPr>
        <b/>
        <i/>
        <u/>
        <sz val="9"/>
        <color theme="3"/>
        <rFont val="Calibri"/>
        <family val="2"/>
        <scheme val="minor"/>
      </rPr>
      <t>en premier</t>
    </r>
    <r>
      <rPr>
        <b/>
        <i/>
        <sz val="9"/>
        <color theme="3"/>
        <rFont val="Calibri"/>
        <family val="2"/>
        <scheme val="minor"/>
      </rPr>
      <t xml:space="preserve"> et par </t>
    </r>
    <r>
      <rPr>
        <b/>
        <i/>
        <u/>
        <sz val="9"/>
        <color theme="3"/>
        <rFont val="Calibri"/>
        <family val="2"/>
        <scheme val="minor"/>
      </rPr>
      <t>ordre croissant</t>
    </r>
    <r>
      <rPr>
        <b/>
        <i/>
        <sz val="9"/>
        <color theme="3"/>
        <rFont val="Calibri"/>
        <family val="2"/>
        <scheme val="minor"/>
      </rPr>
      <t xml:space="preserve"> de début de la période des droits, les Droits de diffusion admissibles ET l'Avance de distribution admissible pour les </t>
    </r>
    <r>
      <rPr>
        <b/>
        <i/>
        <u/>
        <sz val="9"/>
        <color theme="3"/>
        <rFont val="Calibri"/>
        <family val="2"/>
        <scheme val="minor"/>
      </rPr>
      <t xml:space="preserve">droits d'exploitation au Canada </t>
    </r>
    <r>
      <rPr>
        <b/>
        <i/>
        <sz val="9"/>
        <color theme="3"/>
        <rFont val="Calibri"/>
        <family val="2"/>
        <scheme val="minor"/>
      </rPr>
      <t>du Distributeur canadien admissible</t>
    </r>
    <r>
      <rPr>
        <b/>
        <i/>
        <u/>
        <sz val="9"/>
        <color theme="3"/>
        <rFont val="Calibri"/>
        <family val="2"/>
        <scheme val="minor"/>
      </rPr>
      <t xml:space="preserve"> non apparenté</t>
    </r>
  </si>
  <si>
    <t xml:space="preserve">Indiquez le montant d’enveloppe de langue française du Programme des télédiffuseurs et/ou du Programme des distributeurs </t>
  </si>
  <si>
    <r>
      <rPr>
        <b/>
        <sz val="12"/>
        <rFont val="Calibri"/>
        <family val="2"/>
        <scheme val="minor"/>
      </rPr>
      <t xml:space="preserve">2026-2027 - Eligible Market Commitment Thresholds, Maximum Contribution and Term Calculation Sheet </t>
    </r>
    <r>
      <rPr>
        <b/>
        <sz val="1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Program for Black and Racialized Communities (PBRC)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color rgb="FF0070C0"/>
        <rFont val="Calibri"/>
        <family val="2"/>
        <scheme val="minor"/>
      </rPr>
      <t>*voir onglet séparé au bas pour les projets en français</t>
    </r>
  </si>
  <si>
    <r>
      <t xml:space="preserve"> Enter </t>
    </r>
    <r>
      <rPr>
        <b/>
        <u/>
        <sz val="10"/>
        <color rgb="FF000000"/>
        <rFont val="Calibri"/>
        <family val="2"/>
        <scheme val="minor"/>
      </rPr>
      <t>Diverse Languages</t>
    </r>
    <r>
      <rPr>
        <b/>
        <sz val="10"/>
        <color indexed="8"/>
        <rFont val="Calibri"/>
        <family val="2"/>
        <scheme val="minor"/>
      </rPr>
      <t xml:space="preserve"> Broadcaster Envelope Allocation</t>
    </r>
  </si>
  <si>
    <t>*Reminder, section 3.2 of the Broadcaster Envelope Manual: Use of the Alternative Access Allocation requires an accompanying minimum Eligible Licence Fee of $5,000 in the application</t>
  </si>
  <si>
    <t>*Reminder, section 3.2 of the Distributor Envelope Manual: Use of the Alternative Access Allocation requires an accompanying minimum Eligible Distribution Advance of at least $5,000 in the application</t>
  </si>
  <si>
    <r>
      <t xml:space="preserve">(1): Enter </t>
    </r>
    <r>
      <rPr>
        <b/>
        <i/>
        <u/>
        <sz val="9"/>
        <color rgb="FF1F497D"/>
        <rFont val="Calibri"/>
        <family val="2"/>
      </rPr>
      <t>first</t>
    </r>
    <r>
      <rPr>
        <b/>
        <i/>
        <sz val="9"/>
        <color rgb="FF1F497D"/>
        <rFont val="Calibri"/>
        <family val="2"/>
      </rPr>
      <t xml:space="preserve"> the Canadian Broadcaster's Eligible licence Fee AND the Eligible Distribution Advance for the </t>
    </r>
    <r>
      <rPr>
        <b/>
        <i/>
        <u/>
        <sz val="9"/>
        <color rgb="FF1F497D"/>
        <rFont val="Calibri"/>
        <family val="2"/>
      </rPr>
      <t>Canadian Exploitation Right</t>
    </r>
    <r>
      <rPr>
        <b/>
        <i/>
        <sz val="9"/>
        <color rgb="FF1F497D"/>
        <rFont val="Calibri"/>
        <family val="2"/>
      </rPr>
      <t xml:space="preserve"> from the </t>
    </r>
    <r>
      <rPr>
        <b/>
        <i/>
        <u/>
        <sz val="9"/>
        <color rgb="FF1F497D"/>
        <rFont val="Calibri"/>
        <family val="2"/>
      </rPr>
      <t>non-related</t>
    </r>
    <r>
      <rPr>
        <b/>
        <i/>
        <sz val="9"/>
        <color rgb="FF1F497D"/>
        <rFont val="Calibri"/>
        <family val="2"/>
      </rPr>
      <t xml:space="preserve"> Eligible Canadian Distributor </t>
    </r>
    <r>
      <rPr>
        <b/>
        <i/>
        <u/>
        <sz val="9"/>
        <color rgb="FF1F497D"/>
        <rFont val="Calibri"/>
        <family val="2"/>
      </rPr>
      <t xml:space="preserve">in order of start </t>
    </r>
    <r>
      <rPr>
        <b/>
        <i/>
        <sz val="9"/>
        <color rgb="FF1F497D"/>
        <rFont val="Calibri"/>
        <family val="2"/>
      </rPr>
      <t>of term dates</t>
    </r>
  </si>
  <si>
    <r>
      <t>Eligible Canadian Distributor ("ECD") Territory</t>
    </r>
    <r>
      <rPr>
        <b/>
        <sz val="10"/>
        <color rgb="FF1F497D"/>
        <rFont val="Calibri"/>
        <family val="2"/>
        <scheme val="minor"/>
      </rPr>
      <t xml:space="preserve">
(Choose from list)</t>
    </r>
  </si>
  <si>
    <r>
      <t xml:space="preserve">Is the ECD a related party to the Applicant?
</t>
    </r>
    <r>
      <rPr>
        <b/>
        <sz val="10"/>
        <color rgb="FF1F497D"/>
        <rFont val="Calibri"/>
        <family val="2"/>
        <scheme val="minor"/>
      </rPr>
      <t>(Choose from list)</t>
    </r>
  </si>
  <si>
    <t>MUST be completed for the distributor</t>
  </si>
  <si>
    <t>Canadian</t>
  </si>
  <si>
    <t>Broadcaster
(ELF)</t>
  </si>
  <si>
    <t>Distributor
(EDA)</t>
  </si>
  <si>
    <r>
      <t xml:space="preserve">Intl. Entity
(EFC) </t>
    </r>
    <r>
      <rPr>
        <b/>
        <sz val="10"/>
        <color rgb="FF1F497D"/>
        <rFont val="Calibri"/>
        <family val="2"/>
        <scheme val="minor"/>
      </rPr>
      <t>(2)</t>
    </r>
  </si>
  <si>
    <t>Total Eligible Market Commitment</t>
  </si>
  <si>
    <t>Maximum Terms, Envelope Programs Contributions, Eligible Licence Fees (ELF), Eligible Distribution Advance (EDA) and Eligible Financial Contribution (EFC):</t>
  </si>
  <si>
    <t>Broadcaster and Distributor Maximum Term Calculation:</t>
  </si>
  <si>
    <t>Eligible Market Commitment Thresholds:</t>
  </si>
  <si>
    <t>Allowable</t>
  </si>
  <si>
    <t>Ce projet est-il combiné au Programme des enveloppes des télédiffuseurs/Distributeurs?</t>
  </si>
  <si>
    <t>EDA+Can+Not related</t>
  </si>
  <si>
    <t>Formulas for B56/B59/B60 etc.</t>
  </si>
  <si>
    <r>
      <t xml:space="preserve">Required Minimum </t>
    </r>
    <r>
      <rPr>
        <b/>
        <u/>
        <sz val="10"/>
        <color rgb="FF000000"/>
        <rFont val="Calibri"/>
        <family val="2"/>
        <scheme val="minor"/>
      </rPr>
      <t>English</t>
    </r>
    <r>
      <rPr>
        <b/>
        <sz val="10"/>
        <color rgb="FF000000"/>
        <rFont val="Calibri"/>
        <family val="2"/>
        <scheme val="minor"/>
      </rPr>
      <t xml:space="preserve"> (and/or Diverse Language) Envelope Allocation Amount</t>
    </r>
  </si>
  <si>
    <r>
      <t xml:space="preserve">Eligible Distribution Advance </t>
    </r>
    <r>
      <rPr>
        <b/>
        <sz val="10"/>
        <color theme="3"/>
        <rFont val="Calibri"/>
        <family val="2"/>
        <scheme val="minor"/>
      </rPr>
      <t xml:space="preserve"> (1)</t>
    </r>
  </si>
  <si>
    <r>
      <t xml:space="preserve">International Entity
(Intl. Right)
</t>
    </r>
    <r>
      <rPr>
        <sz val="10"/>
        <rFont val="Calibri"/>
        <family val="2"/>
        <scheme val="minor"/>
      </rPr>
      <t>Children &amp; Youth
Documentary</t>
    </r>
  </si>
  <si>
    <t>(2): If the project has both English and French licences, do not complete the "Exclusivity" column</t>
  </si>
  <si>
    <t>Don't delete this row</t>
  </si>
  <si>
    <t>Only an Eligible: (i) Licence Fee; (ii)  Distribution Advance; OR (iii) Financial Contribution amount can be entered per row</t>
  </si>
  <si>
    <t>This program requires Eligible Licence Fee(s) from a Canadian Broadcaster(s)</t>
  </si>
  <si>
    <r>
      <t>Surplus/(</t>
    </r>
    <r>
      <rPr>
        <b/>
        <sz val="10"/>
        <color rgb="FFFF0000"/>
        <rFont val="Calibri"/>
        <family val="2"/>
        <scheme val="minor"/>
      </rPr>
      <t>Insufficient</t>
    </r>
    <r>
      <rPr>
        <b/>
        <sz val="10"/>
        <color rgb="FF000000"/>
        <rFont val="Calibri"/>
        <family val="2"/>
        <scheme val="minor"/>
      </rPr>
      <t xml:space="preserve">) English (and/or Diverse Language) Envelope Allocation amount </t>
    </r>
  </si>
  <si>
    <r>
      <t xml:space="preserve">CMF  Contribution  </t>
    </r>
    <r>
      <rPr>
        <b/>
        <sz val="10"/>
        <color rgb="FF1F497D"/>
        <rFont val="Calibri"/>
        <family val="2"/>
        <scheme val="minor"/>
      </rPr>
      <t xml:space="preserve">(Envelope only: BEP, DEP and/or Diverse Languages) </t>
    </r>
  </si>
  <si>
    <t>Envelope Programs
(Broadcaster, Distributor and/or Diverse Languages)</t>
  </si>
  <si>
    <t>(2): Only the included allowable EFC will appear in the Intl. Entity column (I) and in the Foreign/scheduled broadcaster column (J)</t>
  </si>
  <si>
    <r>
      <t>Foreign/
scheduled broadcaster</t>
    </r>
    <r>
      <rPr>
        <b/>
        <sz val="10"/>
        <color rgb="FF1F497D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
(EFC) </t>
    </r>
    <r>
      <rPr>
        <b/>
        <sz val="10"/>
        <color rgb="FF1F497D"/>
        <rFont val="Calibri"/>
        <family val="2"/>
        <scheme val="minor"/>
      </rPr>
      <t>(2)</t>
    </r>
  </si>
  <si>
    <t>% Total Eligible Market 
Commitment</t>
  </si>
  <si>
    <t>Surplus
No-trigger 
Amounts</t>
  </si>
  <si>
    <r>
      <t xml:space="preserve">Enter the </t>
    </r>
    <r>
      <rPr>
        <b/>
        <u/>
        <sz val="10"/>
        <color rgb="FF000000"/>
        <rFont val="Calibri"/>
        <family val="2"/>
        <scheme val="minor"/>
      </rPr>
      <t>English</t>
    </r>
    <r>
      <rPr>
        <b/>
        <sz val="10"/>
        <color indexed="8"/>
        <rFont val="Calibri"/>
        <family val="2"/>
        <scheme val="minor"/>
      </rPr>
      <t xml:space="preserve"> Envelope Allocation from the BEP and/or the DEP</t>
    </r>
  </si>
  <si>
    <t>(2) : Lorsque le projet cumule des licences en français ET en anglais, ne pas compléter la colonne "Exclusivité"</t>
  </si>
  <si>
    <t>Un seul montant admissible pour (i)  les Droits de diffusion, (ii)  l'Avance de distribution ou (iii)  l'Engagement financier peut être entré par ligne</t>
  </si>
  <si>
    <t>Les demandes dans ce programme sont tenues d’inclure des droits de diffusion admissibles d’un (ou des) Télédiffuseur(s) canadien(s)</t>
  </si>
  <si>
    <t>Exigences seuil pour les engagements admissibles du marché :</t>
  </si>
  <si>
    <t>Montant permis</t>
  </si>
  <si>
    <t xml:space="preserve"> % sur le devis des
engagements admissibles du marché</t>
  </si>
  <si>
    <r>
      <rPr>
        <b/>
        <sz val="10"/>
        <color rgb="FF000000"/>
        <rFont val="Calibri"/>
        <family val="2"/>
        <scheme val="minor"/>
      </rPr>
      <t>Télédiffuseur
étranger/
programmé</t>
    </r>
    <r>
      <rPr>
        <b/>
        <sz val="10"/>
        <color rgb="FF16365C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 xml:space="preserve">(EFA)  </t>
    </r>
    <r>
      <rPr>
        <b/>
        <sz val="10"/>
        <color theme="3"/>
        <rFont val="Calibri"/>
        <family val="2"/>
        <scheme val="minor"/>
      </rPr>
      <t>(2)</t>
    </r>
  </si>
  <si>
    <t>Durée
(en mois)</t>
  </si>
  <si>
    <t>EDA+Can+Nont related</t>
  </si>
  <si>
    <t>Formulas for B56/B58/B60 etc.</t>
  </si>
  <si>
    <t>Requested envelope</t>
  </si>
  <si>
    <t>Montant total de l'enveloppe</t>
  </si>
  <si>
    <r>
      <t>Is the project combined with the</t>
    </r>
    <r>
      <rPr>
        <b/>
        <sz val="10"/>
        <color rgb="FFFF0000"/>
        <rFont val="Calibri"/>
        <family val="2"/>
        <scheme val="minor"/>
      </rPr>
      <t xml:space="preserve"> Broadcaster Envelope Program</t>
    </r>
    <r>
      <rPr>
        <b/>
        <sz val="10"/>
        <rFont val="Calibri"/>
        <family val="2"/>
        <scheme val="minor"/>
      </rPr>
      <t>?</t>
    </r>
  </si>
  <si>
    <r>
      <t xml:space="preserve">Le projet est-il combiné au </t>
    </r>
    <r>
      <rPr>
        <b/>
        <sz val="10"/>
        <color rgb="FFFF0000"/>
        <rFont val="Calibri"/>
        <family val="2"/>
        <scheme val="minor"/>
      </rPr>
      <t>Programme 
des enveloppes des télédiffuseurs</t>
    </r>
    <r>
      <rPr>
        <b/>
        <sz val="10"/>
        <rFont val="Calibri"/>
        <family val="2"/>
        <scheme val="minor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</si>
</sst>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#,##0\ &quot;$&quot;_);\(#,##0\ &quot;$&quot;\)"/>
    <numFmt numFmtId="6" formatCode="#,##0\ &quot;$&quot;_);[Red]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_-* #,##0_-;\-* #,##0_-;_-* &quot;-&quot;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&quot;$&quot;#,##0.00_);\(&quot;$&quot;#,##0.00\)"/>
    <numFmt numFmtId="168" formatCode="0.0%"/>
    <numFmt numFmtId="169" formatCode="[$-409]d\-mmm\-yyyy;@"/>
    <numFmt numFmtId="170" formatCode="&quot;$&quot;#,##0"/>
    <numFmt numFmtId="171" formatCode="#,##0.0_);\(#,##0.0\)"/>
    <numFmt numFmtId="172" formatCode="[$$-409]#,##0_);\([$$-409]#,##0\)"/>
    <numFmt numFmtId="173" formatCode="[$-40C]d\-mmm\-yyyy;@"/>
    <numFmt numFmtId="174" formatCode="[$$-1009]#,##0;\-[$$-1009]#,##0"/>
    <numFmt numFmtId="175" formatCode="#,##0\ [$$-C0C]_);\(#,##0\ [$$-C0C]\)"/>
    <numFmt numFmtId="176" formatCode="#,##0.00\ [$$-C0C]_);\(#,##0.00\ [$$-C0C]\)"/>
    <numFmt numFmtId="177" formatCode="#,##0\ &quot;$&quot;"/>
    <numFmt numFmtId="178" formatCode="_ * #,##0_)\ [$$-C0C]_ ;_ * \(#,##0\)\ [$$-C0C]_ ;_ * &quot;-&quot;??_)\ [$$-C0C]_ ;_ @_ "/>
    <numFmt numFmtId="179" formatCode="#,##0\ [$$-C0C]"/>
    <numFmt numFmtId="180" formatCode="#,##0\ [$$-C0C]_);[Red]\(#,##0\ [$$-C0C]\)"/>
    <numFmt numFmtId="181" formatCode="_ * #,##0_)\ &quot;$&quot;_ ;_ * \(#,##0\)\ &quot;$&quot;_ ;_ * &quot;-&quot;??_)\ &quot;$&quot;_ ;_ @_ "/>
    <numFmt numFmtId="182" formatCode="yyyy/mm/dd;@"/>
    <numFmt numFmtId="183" formatCode="[$$-1009]#,##0;[Red]\-[$$-1009]#,##0"/>
    <numFmt numFmtId="184" formatCode="[$$-1009]#,##0"/>
    <numFmt numFmtId="185" formatCode="#,##0.00\ [$$-C0C]"/>
  </numFmts>
  <fonts count="78" x14ac:knownFonts="1">
    <font>
      <sz val="12"/>
      <name val="Arial"/>
    </font>
    <font>
      <sz val="12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sz val="9"/>
      <color indexed="81"/>
      <name val="Tahoma"/>
      <family val="2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0"/>
      <color rgb="FF1F497D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color rgb="FF1F497D"/>
      <name val="Calibri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1F497D"/>
      <name val="Calibri"/>
      <family val="2"/>
    </font>
    <font>
      <b/>
      <sz val="10"/>
      <color indexed="8"/>
      <name val="Calibri"/>
      <family val="2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16365C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7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color theme="3"/>
      <name val="Calibri"/>
      <family val="2"/>
      <scheme val="minor"/>
    </font>
    <font>
      <b/>
      <sz val="8"/>
      <color rgb="FF1F497D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9"/>
      <color rgb="FF1F497D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u/>
      <sz val="9"/>
      <color theme="3"/>
      <name val="Calibri"/>
      <family val="2"/>
      <scheme val="minor"/>
    </font>
    <font>
      <b/>
      <i/>
      <sz val="9"/>
      <color rgb="FF1F497D"/>
      <name val="Calibri"/>
      <family val="2"/>
      <scheme val="minor"/>
    </font>
    <font>
      <sz val="12"/>
      <color theme="0" tint="-4.9989318521683403E-2"/>
      <name val="Arial"/>
      <family val="2"/>
    </font>
    <font>
      <b/>
      <u/>
      <sz val="10"/>
      <color rgb="FF000000"/>
      <name val="Calibri"/>
      <family val="2"/>
      <scheme val="minor"/>
    </font>
    <font>
      <b/>
      <sz val="12"/>
      <name val="Arial"/>
      <family val="2"/>
    </font>
    <font>
      <b/>
      <i/>
      <sz val="9"/>
      <color rgb="FF1F497D"/>
      <name val="Calibri"/>
      <family val="2"/>
    </font>
    <font>
      <b/>
      <i/>
      <u/>
      <sz val="9"/>
      <color rgb="FF1F497D"/>
      <name val="Calibri"/>
      <family val="2"/>
    </font>
    <font>
      <b/>
      <sz val="10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b/>
      <strike/>
      <sz val="10"/>
      <color theme="0" tint="-0.249977111117893"/>
      <name val="Calibri"/>
      <family val="2"/>
      <scheme val="minor"/>
    </font>
    <font>
      <strike/>
      <sz val="10"/>
      <color theme="0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trike/>
      <sz val="10"/>
      <color theme="0" tint="-4.9989318521683403E-2"/>
      <name val="Calibri"/>
      <family val="2"/>
      <scheme val="minor"/>
    </font>
    <font>
      <b/>
      <i/>
      <sz val="8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1EB8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58">
    <xf numFmtId="0" fontId="0" fillId="0" borderId="0" xfId="0"/>
    <xf numFmtId="9" fontId="8" fillId="3" borderId="5" xfId="3" applyFont="1" applyFill="1" applyBorder="1" applyAlignment="1" applyProtection="1">
      <alignment horizontal="center" vertical="center" wrapText="1"/>
    </xf>
    <xf numFmtId="37" fontId="9" fillId="2" borderId="5" xfId="2" applyNumberFormat="1" applyFont="1" applyFill="1" applyBorder="1" applyAlignment="1" applyProtection="1">
      <alignment horizontal="center" vertical="center" wrapText="1"/>
      <protection locked="0"/>
    </xf>
    <xf numFmtId="171" fontId="9" fillId="3" borderId="5" xfId="2" applyNumberFormat="1" applyFont="1" applyFill="1" applyBorder="1" applyAlignment="1" applyProtection="1">
      <alignment horizontal="center" vertical="center" wrapText="1"/>
    </xf>
    <xf numFmtId="49" fontId="9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13" borderId="5" xfId="0" applyFont="1" applyFill="1" applyBorder="1" applyAlignment="1">
      <alignment horizontal="center" vertical="center" wrapText="1"/>
    </xf>
    <xf numFmtId="5" fontId="8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9" fillId="0" borderId="4" xfId="4" applyFont="1" applyBorder="1" applyAlignment="1">
      <alignment vertical="center"/>
    </xf>
    <xf numFmtId="0" fontId="12" fillId="0" borderId="5" xfId="4" applyFont="1" applyBorder="1" applyAlignment="1">
      <alignment horizontal="center" vertical="center" wrapText="1"/>
    </xf>
    <xf numFmtId="0" fontId="11" fillId="0" borderId="0" xfId="4" applyFont="1" applyAlignment="1">
      <alignment vertical="center" wrapText="1"/>
    </xf>
    <xf numFmtId="0" fontId="12" fillId="0" borderId="3" xfId="4" applyFont="1" applyBorder="1" applyAlignment="1">
      <alignment horizontal="center" vertical="center" wrapText="1"/>
    </xf>
    <xf numFmtId="165" fontId="11" fillId="0" borderId="4" xfId="2" applyFont="1" applyFill="1" applyBorder="1" applyAlignment="1" applyProtection="1">
      <alignment vertical="center" wrapText="1"/>
    </xf>
    <xf numFmtId="165" fontId="11" fillId="6" borderId="4" xfId="2" applyFont="1" applyFill="1" applyBorder="1" applyAlignment="1" applyProtection="1">
      <alignment horizontal="right" vertical="center" wrapText="1"/>
    </xf>
    <xf numFmtId="0" fontId="11" fillId="6" borderId="4" xfId="4" applyFont="1" applyFill="1" applyBorder="1" applyAlignment="1">
      <alignment horizontal="right" vertical="center" wrapText="1"/>
    </xf>
    <xf numFmtId="0" fontId="16" fillId="6" borderId="4" xfId="4" applyFont="1" applyFill="1" applyBorder="1" applyAlignment="1">
      <alignment horizontal="left" vertical="center"/>
    </xf>
    <xf numFmtId="0" fontId="8" fillId="0" borderId="0" xfId="4" applyFont="1" applyAlignment="1">
      <alignment vertical="center"/>
    </xf>
    <xf numFmtId="0" fontId="12" fillId="0" borderId="0" xfId="4" applyFont="1" applyAlignment="1">
      <alignment horizontal="right" vertical="center" wrapText="1"/>
    </xf>
    <xf numFmtId="0" fontId="11" fillId="0" borderId="0" xfId="4" applyFont="1" applyAlignment="1">
      <alignment horizontal="center" vertical="center"/>
    </xf>
    <xf numFmtId="0" fontId="12" fillId="6" borderId="4" xfId="4" applyFont="1" applyFill="1" applyBorder="1"/>
    <xf numFmtId="0" fontId="12" fillId="6" borderId="4" xfId="4" applyFont="1" applyFill="1" applyBorder="1" applyAlignment="1">
      <alignment wrapText="1"/>
    </xf>
    <xf numFmtId="0" fontId="12" fillId="0" borderId="0" xfId="4" applyFont="1" applyAlignment="1">
      <alignment vertical="center" wrapText="1"/>
    </xf>
    <xf numFmtId="0" fontId="11" fillId="0" borderId="0" xfId="4" applyFont="1" applyAlignment="1">
      <alignment horizontal="right" vertical="center"/>
    </xf>
    <xf numFmtId="164" fontId="11" fillId="0" borderId="0" xfId="1" applyFont="1" applyFill="1" applyBorder="1" applyAlignment="1" applyProtection="1">
      <alignment vertical="center" wrapText="1"/>
    </xf>
    <xf numFmtId="0" fontId="11" fillId="0" borderId="0" xfId="4" applyFont="1" applyAlignment="1">
      <alignment horizontal="left" vertical="center"/>
    </xf>
    <xf numFmtId="0" fontId="12" fillId="0" borderId="0" xfId="4" applyFont="1" applyAlignment="1">
      <alignment vertical="center"/>
    </xf>
    <xf numFmtId="177" fontId="8" fillId="0" borderId="0" xfId="2" applyNumberFormat="1" applyFont="1" applyFill="1" applyBorder="1" applyAlignment="1" applyProtection="1">
      <alignment horizontal="right" vertical="center" wrapText="1"/>
    </xf>
    <xf numFmtId="177" fontId="8" fillId="0" borderId="22" xfId="2" applyNumberFormat="1" applyFont="1" applyFill="1" applyBorder="1" applyAlignment="1" applyProtection="1">
      <alignment horizontal="center" vertical="center" wrapText="1"/>
    </xf>
    <xf numFmtId="0" fontId="11" fillId="2" borderId="5" xfId="4" applyFont="1" applyFill="1" applyBorder="1" applyAlignment="1" applyProtection="1">
      <alignment horizontal="center" vertical="center" wrapText="1"/>
      <protection locked="0"/>
    </xf>
    <xf numFmtId="0" fontId="9" fillId="2" borderId="5" xfId="4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164" fontId="11" fillId="0" borderId="0" xfId="1" applyFont="1" applyFill="1" applyBorder="1" applyAlignment="1" applyProtection="1">
      <alignment vertical="center" wrapText="1"/>
      <protection locked="0"/>
    </xf>
    <xf numFmtId="0" fontId="9" fillId="0" borderId="0" xfId="4" applyFont="1" applyAlignment="1">
      <alignment horizontal="right" vertical="center" wrapText="1"/>
    </xf>
    <xf numFmtId="0" fontId="11" fillId="0" borderId="0" xfId="4" applyFont="1" applyAlignment="1">
      <alignment horizontal="center" vertical="center" wrapText="1"/>
    </xf>
    <xf numFmtId="0" fontId="8" fillId="0" borderId="0" xfId="4" applyFont="1" applyAlignment="1">
      <alignment horizontal="right" vertical="center"/>
    </xf>
    <xf numFmtId="171" fontId="8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4" applyFont="1" applyProtection="1">
      <protection locked="0"/>
    </xf>
    <xf numFmtId="0" fontId="8" fillId="0" borderId="0" xfId="4" applyFont="1" applyAlignment="1">
      <alignment horizontal="right" vertical="center" wrapText="1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vertical="center" wrapText="1"/>
    </xf>
    <xf numFmtId="165" fontId="13" fillId="0" borderId="0" xfId="2" applyFont="1" applyFill="1" applyBorder="1" applyAlignment="1" applyProtection="1">
      <alignment horizontal="left" vertical="center" wrapText="1"/>
    </xf>
    <xf numFmtId="0" fontId="12" fillId="0" borderId="0" xfId="4" applyFont="1" applyAlignment="1">
      <alignment horizontal="right" vertical="center"/>
    </xf>
    <xf numFmtId="0" fontId="19" fillId="0" borderId="0" xfId="4" applyFont="1" applyAlignment="1">
      <alignment vertical="center"/>
    </xf>
    <xf numFmtId="0" fontId="26" fillId="0" borderId="0" xfId="4" applyFont="1" applyAlignment="1">
      <alignment vertical="center"/>
    </xf>
    <xf numFmtId="0" fontId="27" fillId="0" borderId="0" xfId="4" applyFont="1" applyAlignment="1">
      <alignment vertical="center"/>
    </xf>
    <xf numFmtId="172" fontId="11" fillId="3" borderId="5" xfId="2" applyNumberFormat="1" applyFont="1" applyFill="1" applyBorder="1" applyAlignment="1" applyProtection="1">
      <alignment horizontal="right" vertical="center" shrinkToFit="1"/>
    </xf>
    <xf numFmtId="172" fontId="9" fillId="5" borderId="5" xfId="2" applyNumberFormat="1" applyFont="1" applyFill="1" applyBorder="1" applyAlignment="1" applyProtection="1">
      <alignment horizontal="right" vertical="center" shrinkToFit="1"/>
      <protection locked="0"/>
    </xf>
    <xf numFmtId="179" fontId="8" fillId="15" borderId="16" xfId="2" applyNumberFormat="1" applyFont="1" applyFill="1" applyBorder="1" applyAlignment="1" applyProtection="1">
      <alignment horizontal="right" vertical="center" shrinkToFit="1"/>
    </xf>
    <xf numFmtId="0" fontId="33" fillId="0" borderId="0" xfId="0" applyFont="1" applyAlignment="1">
      <alignment vertical="center"/>
    </xf>
    <xf numFmtId="0" fontId="11" fillId="0" borderId="0" xfId="4" applyFont="1"/>
    <xf numFmtId="0" fontId="11" fillId="0" borderId="0" xfId="4" applyFont="1" applyAlignment="1">
      <alignment wrapText="1"/>
    </xf>
    <xf numFmtId="0" fontId="8" fillId="0" borderId="5" xfId="4" applyFont="1" applyBorder="1" applyAlignment="1">
      <alignment horizontal="center" vertical="center" wrapText="1"/>
    </xf>
    <xf numFmtId="0" fontId="11" fillId="3" borderId="14" xfId="4" applyFont="1" applyFill="1" applyBorder="1" applyAlignment="1">
      <alignment horizontal="center" vertical="center" wrapText="1"/>
    </xf>
    <xf numFmtId="1" fontId="11" fillId="3" borderId="3" xfId="4" applyNumberFormat="1" applyFont="1" applyFill="1" applyBorder="1" applyAlignment="1">
      <alignment horizontal="center" vertical="center" wrapText="1"/>
    </xf>
    <xf numFmtId="7" fontId="9" fillId="0" borderId="0" xfId="4" applyNumberFormat="1" applyFont="1" applyAlignment="1">
      <alignment horizontal="right" vertical="center" wrapText="1"/>
    </xf>
    <xf numFmtId="180" fontId="9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/>
    <xf numFmtId="0" fontId="35" fillId="0" borderId="0" xfId="0" applyFont="1" applyAlignment="1">
      <alignment vertical="center"/>
    </xf>
    <xf numFmtId="5" fontId="9" fillId="2" borderId="5" xfId="2" applyNumberFormat="1" applyFont="1" applyFill="1" applyBorder="1" applyAlignment="1" applyProtection="1">
      <alignment vertical="center" shrinkToFit="1"/>
      <protection locked="0"/>
    </xf>
    <xf numFmtId="37" fontId="9" fillId="2" borderId="5" xfId="2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4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0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40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8" fillId="13" borderId="5" xfId="4" applyFont="1" applyFill="1" applyBorder="1" applyAlignment="1">
      <alignment horizontal="center" vertical="center" wrapText="1"/>
    </xf>
    <xf numFmtId="0" fontId="12" fillId="14" borderId="1" xfId="4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12" fillId="0" borderId="3" xfId="4" applyFont="1" applyBorder="1" applyAlignment="1">
      <alignment horizontal="right" vertical="center" wrapText="1"/>
    </xf>
    <xf numFmtId="0" fontId="12" fillId="0" borderId="1" xfId="4" applyFont="1" applyBorder="1" applyAlignment="1">
      <alignment horizontal="right" vertical="center" wrapText="1"/>
    </xf>
    <xf numFmtId="0" fontId="8" fillId="0" borderId="14" xfId="4" applyFont="1" applyBorder="1" applyAlignment="1">
      <alignment horizontal="center" vertical="center" wrapText="1"/>
    </xf>
    <xf numFmtId="0" fontId="43" fillId="0" borderId="0" xfId="0" applyFont="1" applyAlignment="1">
      <alignment horizontal="right" vertical="center" wrapText="1"/>
    </xf>
    <xf numFmtId="0" fontId="27" fillId="14" borderId="0" xfId="0" applyFont="1" applyFill="1" applyAlignment="1" applyProtection="1">
      <alignment vertical="center"/>
      <protection hidden="1"/>
    </xf>
    <xf numFmtId="0" fontId="25" fillId="14" borderId="0" xfId="0" applyFont="1" applyFill="1" applyAlignment="1" applyProtection="1">
      <alignment vertical="center"/>
      <protection hidden="1"/>
    </xf>
    <xf numFmtId="0" fontId="27" fillId="0" borderId="4" xfId="0" applyFont="1" applyBorder="1" applyAlignment="1" applyProtection="1">
      <alignment vertical="center"/>
      <protection hidden="1"/>
    </xf>
    <xf numFmtId="0" fontId="27" fillId="14" borderId="1" xfId="0" applyFont="1" applyFill="1" applyBorder="1" applyAlignment="1" applyProtection="1">
      <alignment vertical="center" wrapText="1"/>
      <protection hidden="1"/>
    </xf>
    <xf numFmtId="0" fontId="8" fillId="0" borderId="9" xfId="4" applyFont="1" applyBorder="1" applyAlignment="1">
      <alignment horizontal="center" vertical="center" shrinkToFit="1"/>
    </xf>
    <xf numFmtId="182" fontId="11" fillId="3" borderId="9" xfId="4" applyNumberFormat="1" applyFont="1" applyFill="1" applyBorder="1" applyAlignment="1">
      <alignment horizontal="center" vertical="center" shrinkToFit="1"/>
    </xf>
    <xf numFmtId="182" fontId="11" fillId="3" borderId="5" xfId="4" applyNumberFormat="1" applyFont="1" applyFill="1" applyBorder="1" applyAlignment="1">
      <alignment horizontal="center" vertical="center" shrinkToFit="1"/>
    </xf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6" fillId="0" borderId="0" xfId="0" applyFont="1"/>
    <xf numFmtId="171" fontId="9" fillId="3" borderId="5" xfId="2" applyNumberFormat="1" applyFont="1" applyFill="1" applyBorder="1" applyAlignment="1" applyProtection="1">
      <alignment horizontal="center" vertical="center" shrinkToFit="1"/>
    </xf>
    <xf numFmtId="178" fontId="9" fillId="3" borderId="5" xfId="5" applyNumberFormat="1" applyFont="1" applyFill="1" applyBorder="1" applyAlignment="1" applyProtection="1">
      <alignment horizontal="center" vertical="center" shrinkToFit="1"/>
    </xf>
    <xf numFmtId="5" fontId="11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27" fillId="9" borderId="0" xfId="0" applyFont="1" applyFill="1" applyAlignment="1" applyProtection="1">
      <alignment horizontal="center" vertical="center"/>
      <protection locked="0" hidden="1"/>
    </xf>
    <xf numFmtId="5" fontId="9" fillId="9" borderId="0" xfId="4" applyNumberFormat="1" applyFont="1" applyFill="1" applyAlignment="1" applyProtection="1">
      <alignment vertical="center"/>
      <protection hidden="1"/>
    </xf>
    <xf numFmtId="0" fontId="30" fillId="9" borderId="0" xfId="0" applyFont="1" applyFill="1" applyAlignment="1" applyProtection="1">
      <alignment horizontal="center" vertical="center"/>
      <protection hidden="1"/>
    </xf>
    <xf numFmtId="171" fontId="9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173" fontId="9" fillId="3" borderId="5" xfId="4" applyNumberFormat="1" applyFont="1" applyFill="1" applyBorder="1" applyAlignment="1" applyProtection="1">
      <alignment horizontal="center" vertical="center" shrinkToFit="1"/>
      <protection hidden="1"/>
    </xf>
    <xf numFmtId="0" fontId="12" fillId="0" borderId="9" xfId="4" applyFont="1" applyBorder="1" applyAlignment="1" applyProtection="1">
      <alignment horizontal="center" vertical="center" wrapText="1"/>
      <protection hidden="1"/>
    </xf>
    <xf numFmtId="0" fontId="8" fillId="10" borderId="5" xfId="4" applyFont="1" applyFill="1" applyBorder="1" applyAlignment="1" applyProtection="1">
      <alignment horizontal="center" vertical="center" wrapText="1"/>
      <protection hidden="1"/>
    </xf>
    <xf numFmtId="0" fontId="8" fillId="13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22" fillId="0" borderId="14" xfId="4" applyFont="1" applyBorder="1" applyAlignment="1" applyProtection="1">
      <alignment horizontal="center" vertical="center" wrapText="1"/>
      <protection hidden="1"/>
    </xf>
    <xf numFmtId="49" fontId="12" fillId="16" borderId="9" xfId="4" applyNumberFormat="1" applyFont="1" applyFill="1" applyBorder="1" applyAlignment="1" applyProtection="1">
      <alignment horizontal="center" vertical="center" shrinkToFit="1"/>
      <protection hidden="1"/>
    </xf>
    <xf numFmtId="181" fontId="11" fillId="3" borderId="19" xfId="5" applyNumberFormat="1" applyFont="1" applyFill="1" applyBorder="1" applyAlignment="1" applyProtection="1">
      <alignment horizontal="center" vertical="center" wrapText="1"/>
      <protection hidden="1"/>
    </xf>
    <xf numFmtId="175" fontId="9" fillId="16" borderId="3" xfId="2" applyNumberFormat="1" applyFont="1" applyFill="1" applyBorder="1" applyAlignment="1" applyProtection="1">
      <alignment horizontal="center" vertical="center" shrinkToFit="1"/>
      <protection hidden="1"/>
    </xf>
    <xf numFmtId="10" fontId="9" fillId="16" borderId="1" xfId="3" applyNumberFormat="1" applyFont="1" applyFill="1" applyBorder="1" applyAlignment="1" applyProtection="1">
      <alignment horizontal="center" vertical="center" shrinkToFit="1"/>
      <protection hidden="1"/>
    </xf>
    <xf numFmtId="175" fontId="9" fillId="16" borderId="6" xfId="2" applyNumberFormat="1" applyFont="1" applyFill="1" applyBorder="1" applyAlignment="1" applyProtection="1">
      <alignment horizontal="center" vertical="center" shrinkToFit="1"/>
      <protection hidden="1"/>
    </xf>
    <xf numFmtId="0" fontId="12" fillId="0" borderId="14" xfId="4" applyFont="1" applyBorder="1" applyAlignment="1" applyProtection="1">
      <alignment horizontal="center" vertical="center" shrinkToFit="1"/>
      <protection hidden="1"/>
    </xf>
    <xf numFmtId="49" fontId="11" fillId="16" borderId="9" xfId="4" applyNumberFormat="1" applyFont="1" applyFill="1" applyBorder="1" applyAlignment="1" applyProtection="1">
      <alignment horizontal="center" vertical="center" shrinkToFit="1"/>
      <protection hidden="1"/>
    </xf>
    <xf numFmtId="10" fontId="9" fillId="16" borderId="9" xfId="3" applyNumberFormat="1" applyFont="1" applyFill="1" applyBorder="1" applyAlignment="1" applyProtection="1">
      <alignment horizontal="center" vertical="center" shrinkToFit="1"/>
      <protection hidden="1"/>
    </xf>
    <xf numFmtId="0" fontId="12" fillId="0" borderId="3" xfId="4" applyFont="1" applyBorder="1" applyAlignment="1" applyProtection="1">
      <alignment horizontal="center" vertical="center" shrinkToFit="1"/>
      <protection hidden="1"/>
    </xf>
    <xf numFmtId="49" fontId="11" fillId="16" borderId="12" xfId="4" applyNumberFormat="1" applyFont="1" applyFill="1" applyBorder="1" applyAlignment="1" applyProtection="1">
      <alignment horizontal="center" vertical="center" shrinkToFit="1"/>
      <protection hidden="1"/>
    </xf>
    <xf numFmtId="49" fontId="11" fillId="16" borderId="5" xfId="4" applyNumberFormat="1" applyFont="1" applyFill="1" applyBorder="1" applyAlignment="1" applyProtection="1">
      <alignment horizontal="center" vertical="center" shrinkToFit="1"/>
      <protection hidden="1"/>
    </xf>
    <xf numFmtId="0" fontId="12" fillId="0" borderId="17" xfId="4" applyFont="1" applyBorder="1" applyAlignment="1" applyProtection="1">
      <alignment horizontal="center" vertical="center" shrinkToFit="1"/>
      <protection hidden="1"/>
    </xf>
    <xf numFmtId="0" fontId="12" fillId="0" borderId="5" xfId="4" applyFont="1" applyBorder="1" applyAlignment="1" applyProtection="1">
      <alignment horizontal="center" vertical="center" shrinkToFit="1"/>
      <protection hidden="1"/>
    </xf>
    <xf numFmtId="49" fontId="9" fillId="16" borderId="5" xfId="4" applyNumberFormat="1" applyFont="1" applyFill="1" applyBorder="1" applyAlignment="1" applyProtection="1">
      <alignment horizontal="center" vertical="center" shrinkToFit="1"/>
      <protection hidden="1"/>
    </xf>
    <xf numFmtId="181" fontId="11" fillId="3" borderId="7" xfId="5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4" applyFont="1" applyAlignment="1" applyProtection="1">
      <alignment horizontal="center" vertical="center" shrinkToFit="1"/>
      <protection hidden="1"/>
    </xf>
    <xf numFmtId="177" fontId="12" fillId="0" borderId="0" xfId="3" applyNumberFormat="1" applyFont="1" applyFill="1" applyBorder="1" applyAlignment="1" applyProtection="1">
      <alignment horizontal="right" vertical="center" wrapText="1"/>
      <protection hidden="1"/>
    </xf>
    <xf numFmtId="168" fontId="26" fillId="0" borderId="0" xfId="3" applyNumberFormat="1" applyFont="1" applyFill="1" applyBorder="1" applyAlignment="1" applyProtection="1">
      <alignment horizontal="center" vertical="center" wrapText="1"/>
      <protection hidden="1"/>
    </xf>
    <xf numFmtId="176" fontId="27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right"/>
      <protection hidden="1"/>
    </xf>
    <xf numFmtId="10" fontId="13" fillId="0" borderId="0" xfId="3" applyNumberFormat="1" applyFont="1" applyFill="1" applyBorder="1" applyAlignment="1" applyProtection="1">
      <alignment horizontal="left" shrinkToFit="1"/>
      <protection hidden="1"/>
    </xf>
    <xf numFmtId="0" fontId="37" fillId="0" borderId="0" xfId="4" applyFont="1" applyAlignment="1" applyProtection="1">
      <alignment horizontal="center" vertical="center"/>
      <protection hidden="1"/>
    </xf>
    <xf numFmtId="0" fontId="27" fillId="0" borderId="0" xfId="4" applyFont="1" applyAlignment="1" applyProtection="1">
      <alignment horizontal="center" vertical="center"/>
      <protection hidden="1"/>
    </xf>
    <xf numFmtId="0" fontId="27" fillId="0" borderId="0" xfId="4" applyFont="1" applyAlignment="1" applyProtection="1">
      <alignment vertical="center"/>
      <protection hidden="1"/>
    </xf>
    <xf numFmtId="10" fontId="8" fillId="0" borderId="0" xfId="3" applyNumberFormat="1" applyFont="1" applyFill="1" applyBorder="1" applyAlignment="1" applyProtection="1">
      <alignment horizontal="left" shrinkToFit="1"/>
      <protection hidden="1"/>
    </xf>
    <xf numFmtId="0" fontId="26" fillId="0" borderId="0" xfId="4" applyFont="1" applyAlignment="1" applyProtection="1">
      <alignment vertical="center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175" fontId="11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4" applyFont="1" applyAlignment="1" applyProtection="1">
      <alignment vertical="center" shrinkToFit="1"/>
      <protection hidden="1"/>
    </xf>
    <xf numFmtId="0" fontId="11" fillId="0" borderId="0" xfId="4" applyFont="1" applyAlignment="1" applyProtection="1">
      <alignment vertical="center" shrinkToFit="1"/>
      <protection hidden="1"/>
    </xf>
    <xf numFmtId="0" fontId="11" fillId="0" borderId="0" xfId="4" applyFont="1" applyAlignment="1" applyProtection="1">
      <alignment vertical="center"/>
      <protection hidden="1"/>
    </xf>
    <xf numFmtId="0" fontId="9" fillId="0" borderId="0" xfId="4" applyFont="1" applyAlignment="1" applyProtection="1">
      <alignment horizontal="center" vertical="center" wrapText="1"/>
      <protection hidden="1"/>
    </xf>
    <xf numFmtId="167" fontId="9" fillId="0" borderId="0" xfId="4" applyNumberFormat="1" applyFont="1" applyAlignment="1" applyProtection="1">
      <alignment horizontal="center" vertical="center" wrapText="1"/>
      <protection hidden="1"/>
    </xf>
    <xf numFmtId="0" fontId="8" fillId="0" borderId="0" xfId="4" applyFont="1" applyAlignment="1" applyProtection="1">
      <alignment horizontal="center" vertical="center" wrapText="1"/>
      <protection hidden="1"/>
    </xf>
    <xf numFmtId="0" fontId="9" fillId="0" borderId="0" xfId="4" applyFont="1" applyAlignment="1" applyProtection="1">
      <alignment horizontal="center" vertical="center"/>
      <protection hidden="1"/>
    </xf>
    <xf numFmtId="0" fontId="16" fillId="6" borderId="0" xfId="4" applyFont="1" applyFill="1" applyAlignment="1" applyProtection="1">
      <alignment vertical="center"/>
      <protection hidden="1"/>
    </xf>
    <xf numFmtId="0" fontId="11" fillId="6" borderId="0" xfId="4" applyFont="1" applyFill="1" applyAlignment="1" applyProtection="1">
      <alignment horizontal="center" vertical="center" wrapText="1"/>
      <protection hidden="1"/>
    </xf>
    <xf numFmtId="0" fontId="11" fillId="6" borderId="0" xfId="4" applyFont="1" applyFill="1" applyAlignment="1" applyProtection="1">
      <alignment horizontal="right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10" borderId="5" xfId="0" applyFont="1" applyFill="1" applyBorder="1" applyAlignment="1" applyProtection="1">
      <alignment horizontal="center" vertical="center" wrapText="1"/>
      <protection hidden="1"/>
    </xf>
    <xf numFmtId="0" fontId="12" fillId="14" borderId="2" xfId="0" applyFont="1" applyFill="1" applyBorder="1" applyAlignment="1" applyProtection="1">
      <alignment vertical="center"/>
      <protection hidden="1"/>
    </xf>
    <xf numFmtId="0" fontId="30" fillId="14" borderId="0" xfId="0" applyFont="1" applyFill="1" applyAlignment="1" applyProtection="1">
      <alignment vertical="center"/>
      <protection hidden="1"/>
    </xf>
    <xf numFmtId="0" fontId="26" fillId="14" borderId="0" xfId="0" applyFont="1" applyFill="1" applyAlignment="1" applyProtection="1">
      <alignment horizontal="center" vertical="center"/>
      <protection hidden="1"/>
    </xf>
    <xf numFmtId="0" fontId="30" fillId="14" borderId="0" xfId="0" applyFont="1" applyFill="1" applyAlignment="1" applyProtection="1">
      <alignment horizontal="center" vertical="center"/>
      <protection hidden="1"/>
    </xf>
    <xf numFmtId="0" fontId="26" fillId="14" borderId="0" xfId="0" applyFont="1" applyFill="1" applyAlignment="1" applyProtection="1">
      <alignment vertical="center"/>
      <protection hidden="1"/>
    </xf>
    <xf numFmtId="0" fontId="11" fillId="0" borderId="5" xfId="4" applyFont="1" applyBorder="1" applyAlignment="1" applyProtection="1">
      <alignment horizontal="center" vertical="center" wrapText="1"/>
      <protection hidden="1"/>
    </xf>
    <xf numFmtId="9" fontId="9" fillId="0" borderId="5" xfId="3" applyFont="1" applyBorder="1" applyAlignment="1" applyProtection="1">
      <alignment horizontal="center" vertical="center" wrapText="1"/>
      <protection hidden="1"/>
    </xf>
    <xf numFmtId="179" fontId="9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11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11" fillId="17" borderId="5" xfId="2" applyNumberFormat="1" applyFont="1" applyFill="1" applyBorder="1" applyAlignment="1" applyProtection="1">
      <alignment horizontal="center" vertical="center" shrinkToFit="1"/>
      <protection hidden="1"/>
    </xf>
    <xf numFmtId="0" fontId="23" fillId="0" borderId="5" xfId="4" applyFont="1" applyBorder="1" applyAlignment="1" applyProtection="1">
      <alignment horizontal="center" vertical="center" wrapText="1"/>
      <protection hidden="1"/>
    </xf>
    <xf numFmtId="0" fontId="30" fillId="14" borderId="7" xfId="0" applyFont="1" applyFill="1" applyBorder="1" applyAlignment="1" applyProtection="1">
      <alignment horizontal="center" vertical="center"/>
      <protection hidden="1"/>
    </xf>
    <xf numFmtId="9" fontId="11" fillId="0" borderId="5" xfId="3" applyFont="1" applyBorder="1" applyAlignment="1" applyProtection="1">
      <alignment horizontal="center" vertical="center" wrapText="1"/>
      <protection hidden="1"/>
    </xf>
    <xf numFmtId="179" fontId="11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9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11" fillId="0" borderId="5" xfId="4" applyNumberFormat="1" applyFont="1" applyBorder="1" applyAlignment="1" applyProtection="1">
      <alignment horizontal="center" vertical="center" wrapText="1"/>
      <protection hidden="1"/>
    </xf>
    <xf numFmtId="0" fontId="12" fillId="14" borderId="2" xfId="0" applyFont="1" applyFill="1" applyBorder="1" applyAlignment="1" applyProtection="1">
      <alignment horizontal="left" vertical="center"/>
      <protection hidden="1"/>
    </xf>
    <xf numFmtId="0" fontId="12" fillId="14" borderId="0" xfId="0" applyFont="1" applyFill="1" applyAlignment="1" applyProtection="1">
      <alignment vertical="center"/>
      <protection hidden="1"/>
    </xf>
    <xf numFmtId="0" fontId="26" fillId="14" borderId="0" xfId="0" applyFont="1" applyFill="1" applyAlignment="1" applyProtection="1">
      <alignment horizontal="right" vertical="center"/>
      <protection hidden="1"/>
    </xf>
    <xf numFmtId="0" fontId="26" fillId="14" borderId="7" xfId="0" applyFont="1" applyFill="1" applyBorder="1" applyAlignment="1" applyProtection="1">
      <alignment vertical="center"/>
      <protection hidden="1"/>
    </xf>
    <xf numFmtId="0" fontId="11" fillId="14" borderId="18" xfId="4" applyFont="1" applyFill="1" applyBorder="1" applyAlignment="1" applyProtection="1">
      <alignment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8" borderId="5" xfId="0" applyFont="1" applyFill="1" applyBorder="1" applyAlignment="1" applyProtection="1">
      <alignment horizontal="center" vertical="center" wrapText="1"/>
      <protection hidden="1"/>
    </xf>
    <xf numFmtId="0" fontId="8" fillId="10" borderId="6" xfId="0" applyFont="1" applyFill="1" applyBorder="1" applyAlignment="1" applyProtection="1">
      <alignment horizontal="center" vertical="center" wrapText="1"/>
      <protection hidden="1"/>
    </xf>
    <xf numFmtId="0" fontId="12" fillId="11" borderId="5" xfId="0" applyFont="1" applyFill="1" applyBorder="1" applyAlignment="1" applyProtection="1">
      <alignment horizontal="center" vertical="center" wrapText="1"/>
      <protection hidden="1"/>
    </xf>
    <xf numFmtId="0" fontId="8" fillId="11" borderId="6" xfId="0" applyFont="1" applyFill="1" applyBorder="1" applyAlignment="1" applyProtection="1">
      <alignment horizontal="center" vertical="center" wrapText="1"/>
      <protection hidden="1"/>
    </xf>
    <xf numFmtId="0" fontId="8" fillId="8" borderId="6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18" borderId="1" xfId="0" applyFont="1" applyFill="1" applyBorder="1" applyAlignment="1" applyProtection="1">
      <alignment vertical="center"/>
      <protection hidden="1"/>
    </xf>
    <xf numFmtId="175" fontId="26" fillId="0" borderId="9" xfId="0" applyNumberFormat="1" applyFont="1" applyBorder="1" applyAlignment="1" applyProtection="1">
      <alignment horizontal="center" vertical="center" wrapText="1"/>
      <protection hidden="1"/>
    </xf>
    <xf numFmtId="176" fontId="11" fillId="3" borderId="9" xfId="2" applyNumberFormat="1" applyFont="1" applyFill="1" applyBorder="1" applyAlignment="1" applyProtection="1">
      <alignment horizontal="center" vertical="center"/>
      <protection hidden="1"/>
    </xf>
    <xf numFmtId="175" fontId="11" fillId="3" borderId="5" xfId="2" applyNumberFormat="1" applyFont="1" applyFill="1" applyBorder="1" applyAlignment="1" applyProtection="1">
      <alignment horizontal="center" vertical="center"/>
      <protection hidden="1"/>
    </xf>
    <xf numFmtId="176" fontId="11" fillId="3" borderId="9" xfId="2" applyNumberFormat="1" applyFont="1" applyFill="1" applyBorder="1" applyAlignment="1" applyProtection="1">
      <alignment horizontal="center" vertical="center" wrapText="1"/>
      <protection hidden="1"/>
    </xf>
    <xf numFmtId="175" fontId="11" fillId="3" borderId="9" xfId="2" applyNumberFormat="1" applyFont="1" applyFill="1" applyBorder="1" applyAlignment="1" applyProtection="1">
      <alignment horizontal="center" vertical="center" wrapText="1"/>
      <protection hidden="1"/>
    </xf>
    <xf numFmtId="175" fontId="11" fillId="3" borderId="9" xfId="2" applyNumberFormat="1" applyFont="1" applyFill="1" applyBorder="1" applyAlignment="1" applyProtection="1">
      <alignment horizontal="center" vertical="center"/>
      <protection hidden="1"/>
    </xf>
    <xf numFmtId="175" fontId="26" fillId="0" borderId="5" xfId="0" applyNumberFormat="1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horizontal="right" vertical="center"/>
      <protection hidden="1"/>
    </xf>
    <xf numFmtId="0" fontId="9" fillId="0" borderId="0" xfId="4" applyFont="1" applyProtection="1">
      <protection hidden="1"/>
    </xf>
    <xf numFmtId="0" fontId="9" fillId="0" borderId="0" xfId="4" applyFont="1" applyAlignment="1" applyProtection="1">
      <alignment horizontal="center"/>
      <protection hidden="1"/>
    </xf>
    <xf numFmtId="0" fontId="11" fillId="0" borderId="0" xfId="4" applyFont="1" applyProtection="1">
      <protection hidden="1"/>
    </xf>
    <xf numFmtId="10" fontId="11" fillId="3" borderId="9" xfId="3" applyNumberFormat="1" applyFont="1" applyFill="1" applyBorder="1" applyAlignment="1" applyProtection="1">
      <alignment horizontal="center" vertical="center" wrapText="1"/>
      <protection hidden="1"/>
    </xf>
    <xf numFmtId="10" fontId="11" fillId="3" borderId="10" xfId="3" applyNumberFormat="1" applyFont="1" applyFill="1" applyBorder="1" applyAlignment="1" applyProtection="1">
      <alignment horizontal="center" vertical="center" wrapText="1"/>
      <protection hidden="1"/>
    </xf>
    <xf numFmtId="10" fontId="12" fillId="4" borderId="16" xfId="3" applyNumberFormat="1" applyFont="1" applyFill="1" applyBorder="1" applyAlignment="1" applyProtection="1">
      <alignment horizontal="center" vertical="center" wrapText="1"/>
      <protection hidden="1"/>
    </xf>
    <xf numFmtId="0" fontId="47" fillId="0" borderId="5" xfId="4" applyFont="1" applyBorder="1" applyAlignment="1">
      <alignment horizontal="center" vertical="center" wrapText="1"/>
    </xf>
    <xf numFmtId="175" fontId="9" fillId="16" borderId="4" xfId="2" applyNumberFormat="1" applyFont="1" applyFill="1" applyBorder="1" applyAlignment="1" applyProtection="1">
      <alignment horizontal="center" vertical="center" shrinkToFit="1"/>
      <protection hidden="1"/>
    </xf>
    <xf numFmtId="0" fontId="31" fillId="0" borderId="0" xfId="2" applyNumberFormat="1" applyFont="1" applyFill="1" applyAlignment="1" applyProtection="1">
      <alignment horizontal="left" vertical="center" wrapText="1"/>
      <protection hidden="1"/>
    </xf>
    <xf numFmtId="0" fontId="12" fillId="17" borderId="24" xfId="0" applyFont="1" applyFill="1" applyBorder="1" applyAlignment="1" applyProtection="1">
      <alignment horizontal="center" vertical="center" wrapText="1"/>
      <protection hidden="1"/>
    </xf>
    <xf numFmtId="0" fontId="8" fillId="10" borderId="3" xfId="0" applyFont="1" applyFill="1" applyBorder="1" applyAlignment="1" applyProtection="1">
      <alignment horizontal="center" vertical="center" wrapText="1"/>
      <protection hidden="1"/>
    </xf>
    <xf numFmtId="0" fontId="27" fillId="9" borderId="2" xfId="0" applyFont="1" applyFill="1" applyBorder="1" applyAlignment="1" applyProtection="1">
      <alignment horizontal="center" vertical="center"/>
      <protection locked="0"/>
    </xf>
    <xf numFmtId="172" fontId="9" fillId="3" borderId="5" xfId="2" applyNumberFormat="1" applyFont="1" applyFill="1" applyBorder="1" applyAlignment="1" applyProtection="1">
      <alignment horizontal="center" vertical="center"/>
    </xf>
    <xf numFmtId="0" fontId="12" fillId="0" borderId="26" xfId="4" applyFont="1" applyBorder="1" applyAlignment="1">
      <alignment horizontal="right" vertical="center" wrapText="1"/>
    </xf>
    <xf numFmtId="0" fontId="12" fillId="0" borderId="15" xfId="4" applyFont="1" applyBorder="1" applyAlignment="1">
      <alignment horizontal="right" vertical="center" wrapText="1"/>
    </xf>
    <xf numFmtId="172" fontId="9" fillId="5" borderId="5" xfId="2" applyNumberFormat="1" applyFont="1" applyFill="1" applyBorder="1" applyAlignment="1" applyProtection="1">
      <alignment horizontal="center" vertical="center" shrinkToFit="1"/>
      <protection locked="0"/>
    </xf>
    <xf numFmtId="0" fontId="8" fillId="13" borderId="23" xfId="0" applyFont="1" applyFill="1" applyBorder="1" applyAlignment="1" applyProtection="1">
      <alignment horizontal="center" vertical="center" wrapText="1"/>
      <protection hidden="1"/>
    </xf>
    <xf numFmtId="0" fontId="8" fillId="0" borderId="9" xfId="4" applyFont="1" applyBorder="1" applyAlignment="1">
      <alignment horizontal="center" vertical="center" wrapText="1"/>
    </xf>
    <xf numFmtId="0" fontId="8" fillId="10" borderId="9" xfId="4" applyFont="1" applyFill="1" applyBorder="1" applyAlignment="1">
      <alignment horizontal="center" vertical="center" wrapText="1"/>
    </xf>
    <xf numFmtId="0" fontId="8" fillId="10" borderId="14" xfId="4" applyFont="1" applyFill="1" applyBorder="1" applyAlignment="1">
      <alignment horizontal="center" vertical="center" wrapText="1"/>
    </xf>
    <xf numFmtId="0" fontId="8" fillId="13" borderId="5" xfId="4" applyFont="1" applyFill="1" applyBorder="1" applyAlignment="1" applyProtection="1">
      <alignment horizontal="center" vertical="center" wrapText="1"/>
      <protection hidden="1"/>
    </xf>
    <xf numFmtId="0" fontId="8" fillId="13" borderId="6" xfId="4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49" fontId="9" fillId="3" borderId="5" xfId="4" applyNumberFormat="1" applyFont="1" applyFill="1" applyBorder="1" applyAlignment="1" applyProtection="1">
      <alignment horizontal="center" vertical="center" shrinkToFit="1"/>
      <protection hidden="1"/>
    </xf>
    <xf numFmtId="172" fontId="9" fillId="3" borderId="5" xfId="2" applyNumberFormat="1" applyFont="1" applyFill="1" applyBorder="1" applyAlignment="1" applyProtection="1">
      <alignment horizontal="right" vertical="center" shrinkToFit="1"/>
      <protection hidden="1"/>
    </xf>
    <xf numFmtId="172" fontId="9" fillId="3" borderId="6" xfId="2" applyNumberFormat="1" applyFont="1" applyFill="1" applyBorder="1" applyAlignment="1" applyProtection="1">
      <alignment horizontal="right" vertical="center" shrinkToFit="1"/>
      <protection hidden="1"/>
    </xf>
    <xf numFmtId="172" fontId="9" fillId="3" borderId="5" xfId="2" applyNumberFormat="1" applyFont="1" applyFill="1" applyBorder="1" applyAlignment="1" applyProtection="1">
      <alignment horizontal="center" vertical="center" shrinkToFit="1"/>
      <protection hidden="1"/>
    </xf>
    <xf numFmtId="10" fontId="9" fillId="3" borderId="5" xfId="3" applyNumberFormat="1" applyFont="1" applyFill="1" applyBorder="1" applyAlignment="1" applyProtection="1">
      <alignment horizontal="center" vertical="center" shrinkToFit="1"/>
      <protection hidden="1"/>
    </xf>
    <xf numFmtId="49" fontId="9" fillId="3" borderId="20" xfId="4" applyNumberFormat="1" applyFont="1" applyFill="1" applyBorder="1" applyAlignment="1" applyProtection="1">
      <alignment horizontal="center" vertical="center" shrinkToFit="1"/>
      <protection hidden="1"/>
    </xf>
    <xf numFmtId="172" fontId="9" fillId="3" borderId="20" xfId="2" applyNumberFormat="1" applyFont="1" applyFill="1" applyBorder="1" applyAlignment="1" applyProtection="1">
      <alignment horizontal="right" vertical="center" shrinkToFit="1"/>
      <protection hidden="1"/>
    </xf>
    <xf numFmtId="172" fontId="9" fillId="3" borderId="21" xfId="2" applyNumberFormat="1" applyFont="1" applyFill="1" applyBorder="1" applyAlignment="1" applyProtection="1">
      <alignment horizontal="right" vertical="center" shrinkToFit="1"/>
      <protection hidden="1"/>
    </xf>
    <xf numFmtId="172" fontId="8" fillId="4" borderId="16" xfId="2" applyNumberFormat="1" applyFont="1" applyFill="1" applyBorder="1" applyAlignment="1" applyProtection="1">
      <alignment horizontal="right" vertical="center" shrinkToFit="1"/>
      <protection hidden="1"/>
    </xf>
    <xf numFmtId="10" fontId="8" fillId="4" borderId="16" xfId="3" applyNumberFormat="1" applyFont="1" applyFill="1" applyBorder="1" applyAlignment="1" applyProtection="1">
      <alignment horizontal="center" vertical="center" shrinkToFit="1"/>
      <protection hidden="1"/>
    </xf>
    <xf numFmtId="172" fontId="8" fillId="4" borderId="16" xfId="2" applyNumberFormat="1" applyFont="1" applyFill="1" applyBorder="1" applyAlignment="1" applyProtection="1">
      <alignment horizontal="right" vertical="center" shrinkToFit="1"/>
    </xf>
    <xf numFmtId="169" fontId="9" fillId="3" borderId="5" xfId="4" applyNumberFormat="1" applyFont="1" applyFill="1" applyBorder="1" applyAlignment="1" applyProtection="1">
      <alignment horizontal="center" vertical="center"/>
      <protection hidden="1"/>
    </xf>
    <xf numFmtId="0" fontId="9" fillId="2" borderId="5" xfId="4" applyFont="1" applyFill="1" applyBorder="1" applyAlignment="1" applyProtection="1">
      <alignment horizontal="center" vertical="center"/>
      <protection locked="0"/>
    </xf>
    <xf numFmtId="0" fontId="12" fillId="0" borderId="3" xfId="4" applyFont="1" applyBorder="1" applyAlignment="1" applyProtection="1">
      <alignment horizontal="center" vertical="center" wrapText="1"/>
      <protection hidden="1"/>
    </xf>
    <xf numFmtId="170" fontId="8" fillId="0" borderId="2" xfId="4" applyNumberFormat="1" applyFont="1" applyBorder="1" applyAlignment="1" applyProtection="1">
      <alignment horizontal="center" vertical="center" wrapText="1"/>
      <protection hidden="1"/>
    </xf>
    <xf numFmtId="0" fontId="8" fillId="0" borderId="2" xfId="4" applyFont="1" applyBorder="1" applyAlignment="1" applyProtection="1">
      <alignment horizontal="center" vertical="center"/>
      <protection hidden="1"/>
    </xf>
    <xf numFmtId="0" fontId="8" fillId="0" borderId="2" xfId="4" applyFont="1" applyBorder="1" applyAlignment="1" applyProtection="1">
      <alignment horizontal="center" vertical="center" wrapText="1"/>
      <protection hidden="1"/>
    </xf>
    <xf numFmtId="172" fontId="9" fillId="3" borderId="1" xfId="4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4" applyFont="1" applyBorder="1" applyAlignment="1" applyProtection="1">
      <alignment horizontal="center" vertical="center" wrapText="1"/>
      <protection hidden="1"/>
    </xf>
    <xf numFmtId="0" fontId="9" fillId="3" borderId="1" xfId="4" applyFont="1" applyFill="1" applyBorder="1" applyAlignment="1" applyProtection="1">
      <alignment horizontal="center" vertical="center" wrapText="1"/>
      <protection hidden="1"/>
    </xf>
    <xf numFmtId="0" fontId="9" fillId="0" borderId="1" xfId="4" applyFont="1" applyBorder="1" applyAlignment="1" applyProtection="1">
      <alignment horizontal="center" vertical="center" wrapText="1"/>
      <protection hidden="1"/>
    </xf>
    <xf numFmtId="1" fontId="9" fillId="3" borderId="1" xfId="4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4" applyFont="1" applyAlignment="1" applyProtection="1">
      <alignment horizontal="center" vertical="center"/>
      <protection hidden="1"/>
    </xf>
    <xf numFmtId="0" fontId="9" fillId="0" borderId="1" xfId="4" applyFont="1" applyBorder="1" applyAlignment="1" applyProtection="1">
      <alignment horizontal="center" vertical="center"/>
      <protection hidden="1"/>
    </xf>
    <xf numFmtId="167" fontId="9" fillId="0" borderId="1" xfId="4" applyNumberFormat="1" applyFont="1" applyBorder="1" applyAlignment="1" applyProtection="1">
      <alignment horizontal="center" vertical="center" wrapText="1"/>
      <protection hidden="1"/>
    </xf>
    <xf numFmtId="169" fontId="8" fillId="4" borderId="6" xfId="4" applyNumberFormat="1" applyFont="1" applyFill="1" applyBorder="1" applyAlignment="1" applyProtection="1">
      <alignment horizontal="center" vertical="center" shrinkToFit="1"/>
      <protection hidden="1"/>
    </xf>
    <xf numFmtId="0" fontId="9" fillId="0" borderId="7" xfId="4" applyFont="1" applyBorder="1" applyAlignment="1" applyProtection="1">
      <alignment horizontal="center" vertical="center"/>
      <protection hidden="1"/>
    </xf>
    <xf numFmtId="0" fontId="9" fillId="0" borderId="6" xfId="4" applyFont="1" applyBorder="1" applyAlignment="1" applyProtection="1">
      <alignment horizontal="center" vertical="center"/>
      <protection hidden="1"/>
    </xf>
    <xf numFmtId="0" fontId="9" fillId="0" borderId="3" xfId="4" applyFont="1" applyBorder="1" applyAlignment="1" applyProtection="1">
      <alignment horizontal="center" vertical="center" wrapText="1"/>
      <protection hidden="1"/>
    </xf>
    <xf numFmtId="0" fontId="20" fillId="6" borderId="0" xfId="4" applyFont="1" applyFill="1" applyAlignment="1">
      <alignment vertical="center"/>
    </xf>
    <xf numFmtId="0" fontId="1" fillId="6" borderId="0" xfId="4" applyFill="1" applyAlignment="1">
      <alignment vertical="center"/>
    </xf>
    <xf numFmtId="0" fontId="12" fillId="0" borderId="5" xfId="4" applyFont="1" applyBorder="1" applyAlignment="1" applyProtection="1">
      <alignment horizontal="center" vertical="center" wrapText="1"/>
      <protection hidden="1"/>
    </xf>
    <xf numFmtId="0" fontId="8" fillId="17" borderId="5" xfId="4" applyFont="1" applyFill="1" applyBorder="1" applyAlignment="1" applyProtection="1">
      <alignment horizontal="center" vertical="center" wrapText="1"/>
      <protection hidden="1"/>
    </xf>
    <xf numFmtId="0" fontId="16" fillId="6" borderId="0" xfId="4" applyFont="1" applyFill="1" applyAlignment="1">
      <alignment horizontal="left" vertical="center"/>
    </xf>
    <xf numFmtId="0" fontId="4" fillId="6" borderId="0" xfId="4" applyFont="1" applyFill="1" applyAlignment="1">
      <alignment horizontal="right" vertical="center" wrapText="1"/>
    </xf>
    <xf numFmtId="0" fontId="8" fillId="12" borderId="5" xfId="4" applyFont="1" applyFill="1" applyBorder="1" applyAlignment="1" applyProtection="1">
      <alignment horizontal="center" vertical="center" wrapText="1"/>
      <protection hidden="1"/>
    </xf>
    <xf numFmtId="0" fontId="12" fillId="12" borderId="5" xfId="4" applyFont="1" applyFill="1" applyBorder="1" applyAlignment="1" applyProtection="1">
      <alignment horizontal="center" vertical="center" wrapText="1"/>
      <protection hidden="1"/>
    </xf>
    <xf numFmtId="0" fontId="8" fillId="19" borderId="5" xfId="4" applyFont="1" applyFill="1" applyBorder="1" applyAlignment="1" applyProtection="1">
      <alignment horizontal="center" vertical="center" wrapText="1"/>
      <protection hidden="1"/>
    </xf>
    <xf numFmtId="0" fontId="12" fillId="20" borderId="5" xfId="4" applyFont="1" applyFill="1" applyBorder="1" applyAlignment="1" applyProtection="1">
      <alignment horizontal="center" vertical="center" wrapText="1"/>
      <protection hidden="1"/>
    </xf>
    <xf numFmtId="0" fontId="8" fillId="20" borderId="5" xfId="4" applyFont="1" applyFill="1" applyBorder="1" applyAlignment="1" applyProtection="1">
      <alignment horizontal="center" vertical="center" wrapText="1"/>
      <protection hidden="1"/>
    </xf>
    <xf numFmtId="176" fontId="27" fillId="0" borderId="0" xfId="2" applyNumberFormat="1" applyFont="1" applyFill="1" applyBorder="1" applyAlignment="1" applyProtection="1">
      <alignment horizontal="center" wrapText="1"/>
      <protection hidden="1"/>
    </xf>
    <xf numFmtId="10" fontId="13" fillId="0" borderId="0" xfId="3" applyNumberFormat="1" applyFont="1" applyFill="1" applyBorder="1" applyAlignment="1" applyProtection="1">
      <alignment horizontal="left" shrinkToFit="1"/>
    </xf>
    <xf numFmtId="174" fontId="11" fillId="3" borderId="5" xfId="2" applyNumberFormat="1" applyFont="1" applyFill="1" applyBorder="1" applyAlignment="1" applyProtection="1">
      <alignment horizontal="center" vertical="center" shrinkToFit="1"/>
      <protection hidden="1"/>
    </xf>
    <xf numFmtId="174" fontId="11" fillId="17" borderId="5" xfId="2" applyNumberFormat="1" applyFont="1" applyFill="1" applyBorder="1" applyAlignment="1" applyProtection="1">
      <alignment horizontal="center" vertical="center" shrinkToFit="1"/>
      <protection hidden="1"/>
    </xf>
    <xf numFmtId="174" fontId="11" fillId="14" borderId="5" xfId="4" applyNumberFormat="1" applyFont="1" applyFill="1" applyBorder="1" applyAlignment="1" applyProtection="1">
      <alignment vertical="center"/>
      <protection hidden="1"/>
    </xf>
    <xf numFmtId="174" fontId="9" fillId="14" borderId="7" xfId="4" applyNumberFormat="1" applyFont="1" applyFill="1" applyBorder="1" applyAlignment="1" applyProtection="1">
      <alignment horizontal="right" vertical="center"/>
      <protection hidden="1"/>
    </xf>
    <xf numFmtId="10" fontId="9" fillId="3" borderId="3" xfId="3" applyNumberFormat="1" applyFont="1" applyFill="1" applyBorder="1" applyAlignment="1" applyProtection="1">
      <alignment horizontal="center" vertical="center" shrinkToFit="1"/>
      <protection hidden="1"/>
    </xf>
    <xf numFmtId="14" fontId="11" fillId="2" borderId="5" xfId="4" applyNumberFormat="1" applyFont="1" applyFill="1" applyBorder="1" applyAlignment="1" applyProtection="1">
      <alignment horizontal="center" vertical="center" shrinkToFit="1"/>
      <protection locked="0"/>
    </xf>
    <xf numFmtId="14" fontId="9" fillId="2" borderId="5" xfId="4" applyNumberFormat="1" applyFont="1" applyFill="1" applyBorder="1" applyAlignment="1" applyProtection="1">
      <alignment horizontal="center" vertical="center" shrinkToFit="1"/>
      <protection locked="0"/>
    </xf>
    <xf numFmtId="172" fontId="8" fillId="21" borderId="16" xfId="2" applyNumberFormat="1" applyFont="1" applyFill="1" applyBorder="1" applyAlignment="1" applyProtection="1">
      <alignment horizontal="right" vertical="center" shrinkToFit="1"/>
    </xf>
    <xf numFmtId="172" fontId="8" fillId="3" borderId="5" xfId="2" applyNumberFormat="1" applyFont="1" applyFill="1" applyBorder="1" applyAlignment="1" applyProtection="1">
      <alignment horizontal="right" vertical="center" wrapText="1"/>
    </xf>
    <xf numFmtId="172" fontId="9" fillId="2" borderId="12" xfId="2" applyNumberFormat="1" applyFont="1" applyFill="1" applyBorder="1" applyAlignment="1" applyProtection="1">
      <alignment horizontal="right" vertical="center" shrinkToFit="1"/>
      <protection locked="0"/>
    </xf>
    <xf numFmtId="0" fontId="55" fillId="0" borderId="0" xfId="2" applyNumberFormat="1" applyFont="1" applyFill="1" applyBorder="1" applyAlignment="1" applyProtection="1">
      <alignment horizontal="left" vertical="center"/>
    </xf>
    <xf numFmtId="0" fontId="9" fillId="0" borderId="0" xfId="4" applyFont="1" applyAlignment="1" applyProtection="1">
      <alignment vertical="center"/>
      <protection locked="0"/>
    </xf>
    <xf numFmtId="0" fontId="11" fillId="0" borderId="0" xfId="4" applyFont="1" applyAlignment="1" applyProtection="1">
      <alignment vertical="center"/>
      <protection locked="0"/>
    </xf>
    <xf numFmtId="0" fontId="1" fillId="0" borderId="0" xfId="4"/>
    <xf numFmtId="0" fontId="8" fillId="10" borderId="5" xfId="4" applyFont="1" applyFill="1" applyBorder="1" applyAlignment="1">
      <alignment horizontal="center" vertical="center" wrapText="1"/>
    </xf>
    <xf numFmtId="5" fontId="11" fillId="2" borderId="5" xfId="2" applyNumberFormat="1" applyFont="1" applyFill="1" applyBorder="1" applyAlignment="1" applyProtection="1">
      <alignment horizontal="right" vertical="center" shrinkToFit="1"/>
      <protection locked="0"/>
    </xf>
    <xf numFmtId="179" fontId="12" fillId="15" borderId="16" xfId="2" applyNumberFormat="1" applyFont="1" applyFill="1" applyBorder="1" applyAlignment="1" applyProtection="1">
      <alignment horizontal="right" vertical="center" shrinkToFit="1"/>
    </xf>
    <xf numFmtId="0" fontId="39" fillId="0" borderId="0" xfId="7" applyFont="1" applyAlignment="1" applyProtection="1">
      <alignment vertical="center"/>
      <protection hidden="1"/>
    </xf>
    <xf numFmtId="0" fontId="30" fillId="0" borderId="0" xfId="7" applyFont="1" applyAlignment="1" applyProtection="1">
      <alignment vertical="center"/>
      <protection hidden="1"/>
    </xf>
    <xf numFmtId="0" fontId="30" fillId="0" borderId="0" xfId="4" applyFont="1" applyAlignment="1" applyProtection="1">
      <alignment vertical="center"/>
      <protection hidden="1"/>
    </xf>
    <xf numFmtId="0" fontId="8" fillId="13" borderId="5" xfId="7" applyFont="1" applyFill="1" applyBorder="1" applyAlignment="1">
      <alignment horizontal="center" vertical="center" wrapText="1"/>
    </xf>
    <xf numFmtId="181" fontId="12" fillId="21" borderId="16" xfId="5" applyNumberFormat="1" applyFont="1" applyFill="1" applyBorder="1" applyAlignment="1" applyProtection="1">
      <alignment horizontal="center" vertical="center" wrapText="1"/>
      <protection hidden="1"/>
    </xf>
    <xf numFmtId="10" fontId="12" fillId="21" borderId="16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5" xfId="4" applyFont="1" applyBorder="1" applyAlignment="1" applyProtection="1">
      <alignment horizontal="center" vertical="center" wrapText="1"/>
      <protection hidden="1"/>
    </xf>
    <xf numFmtId="0" fontId="27" fillId="14" borderId="11" xfId="4" applyFont="1" applyFill="1" applyBorder="1" applyAlignment="1" applyProtection="1">
      <alignment vertical="center"/>
      <protection hidden="1"/>
    </xf>
    <xf numFmtId="175" fontId="9" fillId="3" borderId="1" xfId="4" applyNumberFormat="1" applyFont="1" applyFill="1" applyBorder="1" applyAlignment="1" applyProtection="1">
      <alignment horizontal="center" vertical="center" shrinkToFit="1"/>
      <protection hidden="1"/>
    </xf>
    <xf numFmtId="0" fontId="16" fillId="6" borderId="4" xfId="4" applyFont="1" applyFill="1" applyBorder="1" applyAlignment="1" applyProtection="1">
      <alignment horizontal="left" vertical="center"/>
      <protection hidden="1"/>
    </xf>
    <xf numFmtId="165" fontId="11" fillId="6" borderId="4" xfId="2" applyFont="1" applyFill="1" applyBorder="1" applyAlignment="1" applyProtection="1">
      <alignment vertical="center" wrapText="1"/>
    </xf>
    <xf numFmtId="0" fontId="55" fillId="0" borderId="0" xfId="4" applyFont="1" applyAlignment="1" applyProtection="1">
      <alignment horizontal="left" vertical="center"/>
      <protection hidden="1"/>
    </xf>
    <xf numFmtId="0" fontId="61" fillId="0" borderId="0" xfId="0" applyFont="1" applyAlignment="1">
      <alignment vertical="center"/>
    </xf>
    <xf numFmtId="0" fontId="9" fillId="0" borderId="0" xfId="7" applyFont="1" applyAlignment="1" applyProtection="1">
      <alignment vertical="center"/>
      <protection hidden="1"/>
    </xf>
    <xf numFmtId="0" fontId="2" fillId="0" borderId="0" xfId="4" applyFont="1" applyProtection="1">
      <protection locked="0"/>
    </xf>
    <xf numFmtId="0" fontId="2" fillId="0" borderId="0" xfId="4" applyFont="1" applyAlignment="1">
      <alignment vertical="center" wrapText="1"/>
    </xf>
    <xf numFmtId="0" fontId="28" fillId="0" borderId="0" xfId="4" applyFont="1" applyAlignment="1" applyProtection="1">
      <alignment vertical="center"/>
      <protection hidden="1"/>
    </xf>
    <xf numFmtId="0" fontId="1" fillId="0" borderId="0" xfId="4" applyAlignment="1" applyProtection="1">
      <alignment vertical="center"/>
      <protection locked="0"/>
    </xf>
    <xf numFmtId="0" fontId="64" fillId="0" borderId="0" xfId="4" applyFont="1" applyAlignment="1" applyProtection="1">
      <alignment vertical="center"/>
      <protection locked="0"/>
    </xf>
    <xf numFmtId="0" fontId="1" fillId="0" borderId="0" xfId="4" applyProtection="1">
      <protection locked="0"/>
    </xf>
    <xf numFmtId="0" fontId="1" fillId="0" borderId="0" xfId="4" applyAlignment="1" applyProtection="1">
      <alignment horizontal="center" vertical="center"/>
      <protection locked="0"/>
    </xf>
    <xf numFmtId="172" fontId="9" fillId="0" borderId="0" xfId="2" applyNumberFormat="1" applyFont="1" applyFill="1" applyBorder="1" applyAlignment="1" applyProtection="1">
      <alignment horizontal="center" vertical="center" wrapText="1"/>
    </xf>
    <xf numFmtId="183" fontId="9" fillId="3" borderId="5" xfId="2" applyNumberFormat="1" applyFont="1" applyFill="1" applyBorder="1" applyAlignment="1" applyProtection="1">
      <alignment horizontal="center" vertical="center"/>
      <protection hidden="1"/>
    </xf>
    <xf numFmtId="49" fontId="65" fillId="0" borderId="0" xfId="4" applyNumberFormat="1" applyFont="1" applyAlignment="1" applyProtection="1">
      <alignment horizontal="left" vertical="center"/>
      <protection hidden="1"/>
    </xf>
    <xf numFmtId="0" fontId="67" fillId="0" borderId="5" xfId="4" applyFont="1" applyBorder="1" applyAlignment="1">
      <alignment horizontal="center" vertical="center" wrapText="1"/>
    </xf>
    <xf numFmtId="0" fontId="67" fillId="0" borderId="14" xfId="4" applyFont="1" applyBorder="1" applyAlignment="1">
      <alignment horizontal="center" vertical="center" wrapText="1"/>
    </xf>
    <xf numFmtId="0" fontId="67" fillId="0" borderId="9" xfId="4" applyFont="1" applyBorder="1" applyAlignment="1">
      <alignment horizontal="center" vertical="center" shrinkToFit="1"/>
    </xf>
    <xf numFmtId="0" fontId="68" fillId="3" borderId="14" xfId="4" applyFont="1" applyFill="1" applyBorder="1" applyAlignment="1">
      <alignment horizontal="center" vertical="center" wrapText="1"/>
    </xf>
    <xf numFmtId="182" fontId="68" fillId="3" borderId="9" xfId="4" applyNumberFormat="1" applyFont="1" applyFill="1" applyBorder="1" applyAlignment="1">
      <alignment horizontal="center" vertical="center" shrinkToFit="1"/>
    </xf>
    <xf numFmtId="1" fontId="68" fillId="3" borderId="3" xfId="4" applyNumberFormat="1" applyFont="1" applyFill="1" applyBorder="1" applyAlignment="1">
      <alignment horizontal="center" vertical="center" wrapText="1"/>
    </xf>
    <xf numFmtId="182" fontId="68" fillId="3" borderId="5" xfId="4" applyNumberFormat="1" applyFont="1" applyFill="1" applyBorder="1" applyAlignment="1">
      <alignment horizontal="center" vertical="center" shrinkToFit="1"/>
    </xf>
    <xf numFmtId="167" fontId="69" fillId="0" borderId="0" xfId="4" applyNumberFormat="1" applyFont="1" applyAlignment="1" applyProtection="1">
      <alignment horizontal="left" vertical="center" wrapText="1"/>
      <protection hidden="1"/>
    </xf>
    <xf numFmtId="167" fontId="9" fillId="6" borderId="0" xfId="4" applyNumberFormat="1" applyFont="1" applyFill="1" applyAlignment="1" applyProtection="1">
      <alignment horizontal="left" vertical="center"/>
      <protection hidden="1"/>
    </xf>
    <xf numFmtId="167" fontId="9" fillId="0" borderId="0" xfId="4" applyNumberFormat="1" applyFont="1" applyAlignment="1" applyProtection="1">
      <alignment horizontal="left" vertical="center"/>
      <protection hidden="1"/>
    </xf>
    <xf numFmtId="0" fontId="8" fillId="0" borderId="12" xfId="4" applyFont="1" applyBorder="1" applyAlignment="1" applyProtection="1">
      <alignment horizontal="center" vertical="center" wrapText="1"/>
      <protection hidden="1"/>
    </xf>
    <xf numFmtId="0" fontId="8" fillId="0" borderId="12" xfId="4" applyFont="1" applyBorder="1" applyAlignment="1">
      <alignment horizontal="center" vertical="center" wrapText="1"/>
    </xf>
    <xf numFmtId="0" fontId="47" fillId="0" borderId="1" xfId="4" applyFont="1" applyBorder="1" applyAlignment="1">
      <alignment horizontal="center" vertical="center" wrapText="1"/>
    </xf>
    <xf numFmtId="0" fontId="70" fillId="14" borderId="1" xfId="4" applyFont="1" applyFill="1" applyBorder="1" applyAlignment="1" applyProtection="1">
      <alignment horizontal="center" vertical="center" wrapText="1"/>
      <protection hidden="1"/>
    </xf>
    <xf numFmtId="49" fontId="8" fillId="14" borderId="1" xfId="4" applyNumberFormat="1" applyFont="1" applyFill="1" applyBorder="1" applyAlignment="1" applyProtection="1">
      <alignment horizontal="right" vertical="center" wrapText="1"/>
      <protection hidden="1"/>
    </xf>
    <xf numFmtId="0" fontId="26" fillId="14" borderId="0" xfId="4" applyFont="1" applyFill="1" applyAlignment="1" applyProtection="1">
      <alignment vertical="center"/>
      <protection hidden="1"/>
    </xf>
    <xf numFmtId="0" fontId="1" fillId="14" borderId="0" xfId="4" applyFill="1" applyProtection="1">
      <protection hidden="1"/>
    </xf>
    <xf numFmtId="0" fontId="59" fillId="14" borderId="0" xfId="4" applyFont="1" applyFill="1" applyProtection="1">
      <protection hidden="1"/>
    </xf>
    <xf numFmtId="0" fontId="1" fillId="14" borderId="4" xfId="7" applyFill="1" applyBorder="1"/>
    <xf numFmtId="0" fontId="27" fillId="14" borderId="19" xfId="4" applyFont="1" applyFill="1" applyBorder="1" applyAlignment="1" applyProtection="1">
      <alignment vertical="center"/>
      <protection hidden="1"/>
    </xf>
    <xf numFmtId="0" fontId="33" fillId="0" borderId="0" xfId="4" applyFont="1" applyAlignment="1">
      <alignment horizontal="left" vertical="center"/>
    </xf>
    <xf numFmtId="0" fontId="27" fillId="0" borderId="0" xfId="7" applyFont="1" applyAlignment="1">
      <alignment vertical="center"/>
    </xf>
    <xf numFmtId="184" fontId="9" fillId="5" borderId="5" xfId="2" applyNumberFormat="1" applyFont="1" applyFill="1" applyBorder="1" applyAlignment="1" applyProtection="1">
      <alignment horizontal="right" vertical="center" wrapText="1"/>
      <protection locked="0"/>
    </xf>
    <xf numFmtId="184" fontId="9" fillId="2" borderId="5" xfId="2" applyNumberFormat="1" applyFont="1" applyFill="1" applyBorder="1" applyAlignment="1" applyProtection="1">
      <alignment horizontal="right" vertical="center" shrinkToFit="1"/>
      <protection locked="0"/>
    </xf>
    <xf numFmtId="0" fontId="9" fillId="2" borderId="9" xfId="4" applyFont="1" applyFill="1" applyBorder="1" applyAlignment="1" applyProtection="1">
      <alignment horizontal="center" vertical="center" wrapText="1"/>
      <protection locked="0"/>
    </xf>
    <xf numFmtId="5" fontId="9" fillId="2" borderId="9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4" applyFont="1" applyBorder="1" applyAlignment="1" applyProtection="1">
      <alignment horizontal="center" vertical="center" wrapText="1"/>
      <protection hidden="1"/>
    </xf>
    <xf numFmtId="0" fontId="20" fillId="6" borderId="4" xfId="4" applyFont="1" applyFill="1" applyBorder="1" applyAlignment="1">
      <alignment horizontal="left" vertical="center"/>
    </xf>
    <xf numFmtId="0" fontId="1" fillId="6" borderId="4" xfId="4" applyFill="1" applyBorder="1"/>
    <xf numFmtId="0" fontId="12" fillId="6" borderId="0" xfId="4" applyFont="1" applyFill="1" applyAlignment="1">
      <alignment vertical="center"/>
    </xf>
    <xf numFmtId="167" fontId="9" fillId="6" borderId="0" xfId="4" applyNumberFormat="1" applyFont="1" applyFill="1" applyAlignment="1" applyProtection="1">
      <alignment horizontal="left" vertical="center" wrapText="1"/>
      <protection hidden="1"/>
    </xf>
    <xf numFmtId="1" fontId="9" fillId="3" borderId="1" xfId="4" applyNumberFormat="1" applyFont="1" applyFill="1" applyBorder="1" applyAlignment="1" applyProtection="1">
      <alignment horizontal="center" vertical="center" shrinkToFit="1"/>
      <protection hidden="1"/>
    </xf>
    <xf numFmtId="172" fontId="9" fillId="3" borderId="5" xfId="2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4" applyFont="1" applyAlignment="1">
      <alignment horizontal="left" vertical="center"/>
    </xf>
    <xf numFmtId="0" fontId="8" fillId="13" borderId="9" xfId="4" applyFont="1" applyFill="1" applyBorder="1" applyAlignment="1">
      <alignment horizontal="center" vertical="center" wrapText="1"/>
    </xf>
    <xf numFmtId="10" fontId="13" fillId="0" borderId="0" xfId="3" applyNumberFormat="1" applyFont="1" applyFill="1" applyBorder="1" applyAlignment="1" applyProtection="1">
      <alignment horizontal="left" vertical="center" shrinkToFit="1"/>
      <protection hidden="1"/>
    </xf>
    <xf numFmtId="172" fontId="72" fillId="3" borderId="20" xfId="2" applyNumberFormat="1" applyFont="1" applyFill="1" applyBorder="1" applyAlignment="1" applyProtection="1">
      <alignment horizontal="right" vertical="center" shrinkToFit="1"/>
      <protection hidden="1"/>
    </xf>
    <xf numFmtId="172" fontId="72" fillId="3" borderId="21" xfId="2" applyNumberFormat="1" applyFont="1" applyFill="1" applyBorder="1" applyAlignment="1" applyProtection="1">
      <alignment horizontal="right" vertical="center" shrinkToFit="1"/>
      <protection hidden="1"/>
    </xf>
    <xf numFmtId="10" fontId="71" fillId="3" borderId="10" xfId="3" applyNumberFormat="1" applyFont="1" applyFill="1" applyBorder="1" applyAlignment="1" applyProtection="1">
      <alignment horizontal="center" vertical="center" wrapText="1"/>
      <protection hidden="1"/>
    </xf>
    <xf numFmtId="0" fontId="72" fillId="0" borderId="0" xfId="4" applyFont="1" applyAlignment="1" applyProtection="1">
      <alignment horizontal="center" vertical="center" shrinkToFit="1"/>
      <protection hidden="1"/>
    </xf>
    <xf numFmtId="177" fontId="71" fillId="0" borderId="0" xfId="3" applyNumberFormat="1" applyFont="1" applyFill="1" applyBorder="1" applyAlignment="1" applyProtection="1">
      <alignment horizontal="right" vertical="center" wrapText="1"/>
      <protection hidden="1"/>
    </xf>
    <xf numFmtId="172" fontId="71" fillId="4" borderId="16" xfId="2" applyNumberFormat="1" applyFont="1" applyFill="1" applyBorder="1" applyAlignment="1" applyProtection="1">
      <alignment horizontal="right" vertical="center" shrinkToFit="1"/>
      <protection hidden="1"/>
    </xf>
    <xf numFmtId="10" fontId="71" fillId="4" borderId="16" xfId="3" applyNumberFormat="1" applyFont="1" applyFill="1" applyBorder="1" applyAlignment="1" applyProtection="1">
      <alignment horizontal="center" vertical="center" wrapText="1"/>
      <protection hidden="1"/>
    </xf>
    <xf numFmtId="0" fontId="11" fillId="9" borderId="0" xfId="4" applyFont="1" applyFill="1" applyAlignment="1" applyProtection="1">
      <alignment vertical="center"/>
      <protection hidden="1"/>
    </xf>
    <xf numFmtId="0" fontId="8" fillId="9" borderId="0" xfId="4" applyFont="1" applyFill="1" applyAlignment="1" applyProtection="1">
      <alignment horizontal="center" vertical="center"/>
      <protection hidden="1"/>
    </xf>
    <xf numFmtId="0" fontId="9" fillId="9" borderId="0" xfId="4" applyFont="1" applyFill="1" applyAlignment="1" applyProtection="1">
      <alignment vertical="center"/>
      <protection hidden="1"/>
    </xf>
    <xf numFmtId="0" fontId="51" fillId="9" borderId="0" xfId="0" applyFont="1" applyFill="1" applyAlignment="1" applyProtection="1">
      <alignment horizontal="right" vertical="center" wrapText="1"/>
      <protection locked="0"/>
    </xf>
    <xf numFmtId="49" fontId="61" fillId="0" borderId="0" xfId="2" applyNumberFormat="1" applyFont="1" applyAlignment="1">
      <alignment horizontal="left" vertical="center"/>
    </xf>
    <xf numFmtId="172" fontId="2" fillId="0" borderId="0" xfId="4" applyNumberFormat="1" applyFont="1" applyAlignment="1">
      <alignment vertical="center" wrapText="1"/>
    </xf>
    <xf numFmtId="0" fontId="74" fillId="0" borderId="0" xfId="4" applyFont="1" applyAlignment="1">
      <alignment horizontal="right" vertical="center"/>
    </xf>
    <xf numFmtId="10" fontId="75" fillId="0" borderId="0" xfId="3" applyNumberFormat="1" applyFont="1" applyAlignment="1">
      <alignment horizontal="left" vertical="center"/>
    </xf>
    <xf numFmtId="174" fontId="9" fillId="3" borderId="6" xfId="2" applyNumberFormat="1" applyFont="1" applyFill="1" applyBorder="1" applyAlignment="1" applyProtection="1">
      <alignment horizontal="center" vertical="center"/>
      <protection hidden="1"/>
    </xf>
    <xf numFmtId="165" fontId="9" fillId="3" borderId="3" xfId="2" applyFont="1" applyFill="1" applyBorder="1" applyAlignment="1" applyProtection="1">
      <alignment horizontal="right" vertical="center" shrinkToFit="1"/>
      <protection hidden="1"/>
    </xf>
    <xf numFmtId="0" fontId="33" fillId="0" borderId="0" xfId="4" applyFont="1"/>
    <xf numFmtId="0" fontId="59" fillId="14" borderId="17" xfId="4" applyFont="1" applyFill="1" applyBorder="1" applyProtection="1">
      <protection hidden="1"/>
    </xf>
    <xf numFmtId="0" fontId="59" fillId="14" borderId="0" xfId="4" applyFont="1" applyFill="1" applyAlignment="1" applyProtection="1">
      <alignment vertical="center"/>
      <protection hidden="1"/>
    </xf>
    <xf numFmtId="0" fontId="27" fillId="14" borderId="12" xfId="4" applyFont="1" applyFill="1" applyBorder="1" applyAlignment="1" applyProtection="1">
      <alignment vertical="center"/>
      <protection hidden="1"/>
    </xf>
    <xf numFmtId="0" fontId="42" fillId="0" borderId="5" xfId="4" applyFont="1" applyBorder="1" applyAlignment="1">
      <alignment horizontal="center" vertical="center" wrapText="1"/>
    </xf>
    <xf numFmtId="0" fontId="14" fillId="0" borderId="5" xfId="4" applyFont="1" applyBorder="1" applyAlignment="1">
      <alignment horizontal="center" vertical="center" wrapText="1"/>
    </xf>
    <xf numFmtId="175" fontId="8" fillId="3" borderId="3" xfId="2" applyNumberFormat="1" applyFont="1" applyFill="1" applyBorder="1" applyAlignment="1" applyProtection="1">
      <alignment horizontal="right" vertical="center" wrapText="1"/>
    </xf>
    <xf numFmtId="0" fontId="59" fillId="14" borderId="14" xfId="4" applyFont="1" applyFill="1" applyBorder="1" applyProtection="1">
      <protection hidden="1"/>
    </xf>
    <xf numFmtId="0" fontId="59" fillId="14" borderId="0" xfId="7" applyFont="1" applyFill="1" applyAlignment="1">
      <alignment vertical="center"/>
    </xf>
    <xf numFmtId="0" fontId="30" fillId="14" borderId="9" xfId="7" applyFont="1" applyFill="1" applyBorder="1" applyAlignment="1">
      <alignment vertical="center"/>
    </xf>
    <xf numFmtId="179" fontId="9" fillId="16" borderId="5" xfId="2" applyNumberFormat="1" applyFont="1" applyFill="1" applyBorder="1" applyAlignment="1" applyProtection="1">
      <alignment horizontal="right" vertical="center" shrinkToFit="1"/>
    </xf>
    <xf numFmtId="179" fontId="9" fillId="5" borderId="5" xfId="2" applyNumberFormat="1" applyFont="1" applyFill="1" applyBorder="1" applyAlignment="1" applyProtection="1">
      <alignment horizontal="right" vertical="center" wrapText="1"/>
      <protection locked="0"/>
    </xf>
    <xf numFmtId="5" fontId="9" fillId="2" borderId="5" xfId="2" applyNumberFormat="1" applyFont="1" applyFill="1" applyBorder="1" applyAlignment="1" applyProtection="1">
      <alignment horizontal="right" vertical="center" shrinkToFit="1"/>
      <protection locked="0"/>
    </xf>
    <xf numFmtId="181" fontId="76" fillId="3" borderId="10" xfId="5" applyNumberFormat="1" applyFont="1" applyFill="1" applyBorder="1" applyAlignment="1" applyProtection="1">
      <alignment horizontal="center" vertical="center" wrapText="1"/>
      <protection hidden="1"/>
    </xf>
    <xf numFmtId="10" fontId="76" fillId="3" borderId="10" xfId="3" applyNumberFormat="1" applyFont="1" applyFill="1" applyBorder="1" applyAlignment="1" applyProtection="1">
      <alignment horizontal="center" vertical="center" wrapText="1"/>
      <protection hidden="1"/>
    </xf>
    <xf numFmtId="181" fontId="76" fillId="21" borderId="16" xfId="5" applyNumberFormat="1" applyFont="1" applyFill="1" applyBorder="1" applyAlignment="1" applyProtection="1">
      <alignment horizontal="center" vertical="center" wrapText="1"/>
      <protection hidden="1"/>
    </xf>
    <xf numFmtId="10" fontId="76" fillId="21" borderId="16" xfId="3" applyNumberFormat="1" applyFont="1" applyFill="1" applyBorder="1" applyAlignment="1" applyProtection="1">
      <alignment horizontal="center" vertical="center" wrapText="1"/>
      <protection hidden="1"/>
    </xf>
    <xf numFmtId="0" fontId="31" fillId="6" borderId="0" xfId="2" applyNumberFormat="1" applyFont="1" applyFill="1" applyAlignment="1" applyProtection="1">
      <alignment horizontal="left" vertical="center" wrapText="1"/>
      <protection hidden="1"/>
    </xf>
    <xf numFmtId="175" fontId="9" fillId="3" borderId="5" xfId="8" applyNumberFormat="1" applyFont="1" applyFill="1" applyBorder="1" applyAlignment="1" applyProtection="1">
      <alignment vertical="center" wrapText="1"/>
      <protection hidden="1"/>
    </xf>
    <xf numFmtId="175" fontId="9" fillId="3" borderId="5" xfId="8" applyNumberFormat="1" applyFont="1" applyFill="1" applyBorder="1" applyAlignment="1" applyProtection="1">
      <alignment horizontal="center" vertical="center" wrapText="1"/>
      <protection hidden="1"/>
    </xf>
    <xf numFmtId="175" fontId="9" fillId="16" borderId="9" xfId="2" applyNumberFormat="1" applyFont="1" applyFill="1" applyBorder="1" applyAlignment="1" applyProtection="1">
      <alignment horizontal="center" vertical="center" shrinkToFit="1"/>
      <protection hidden="1"/>
    </xf>
    <xf numFmtId="175" fontId="8" fillId="22" borderId="16" xfId="8" applyNumberFormat="1" applyFont="1" applyFill="1" applyBorder="1" applyAlignment="1" applyProtection="1">
      <alignment vertical="center" wrapText="1"/>
      <protection hidden="1"/>
    </xf>
    <xf numFmtId="10" fontId="12" fillId="22" borderId="16" xfId="3" applyNumberFormat="1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167" fontId="9" fillId="0" borderId="0" xfId="0" applyNumberFormat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75" fontId="9" fillId="16" borderId="5" xfId="2" applyNumberFormat="1" applyFont="1" applyFill="1" applyBorder="1" applyAlignment="1" applyProtection="1">
      <alignment horizontal="right" vertical="center" shrinkToFit="1"/>
      <protection hidden="1"/>
    </xf>
    <xf numFmtId="0" fontId="8" fillId="0" borderId="1" xfId="4" applyFont="1" applyBorder="1" applyAlignment="1" applyProtection="1">
      <alignment horizontal="center" vertical="center" shrinkToFit="1"/>
      <protection hidden="1"/>
    </xf>
    <xf numFmtId="0" fontId="9" fillId="3" borderId="1" xfId="4" applyFont="1" applyFill="1" applyBorder="1" applyAlignment="1" applyProtection="1">
      <alignment horizontal="center" vertical="center" shrinkToFit="1"/>
      <protection hidden="1"/>
    </xf>
    <xf numFmtId="0" fontId="9" fillId="3" borderId="1" xfId="4" applyFont="1" applyFill="1" applyBorder="1" applyAlignment="1" applyProtection="1">
      <alignment horizontal="right" vertical="center" shrinkToFit="1"/>
      <protection hidden="1"/>
    </xf>
    <xf numFmtId="173" fontId="8" fillId="4" borderId="5" xfId="4" applyNumberFormat="1" applyFont="1" applyFill="1" applyBorder="1" applyAlignment="1" applyProtection="1">
      <alignment horizontal="center" vertical="center" shrinkToFit="1"/>
      <protection hidden="1"/>
    </xf>
    <xf numFmtId="167" fontId="9" fillId="0" borderId="0" xfId="7" applyNumberFormat="1" applyFont="1" applyAlignment="1" applyProtection="1">
      <alignment horizontal="center" vertical="center" wrapText="1"/>
      <protection hidden="1"/>
    </xf>
    <xf numFmtId="1" fontId="9" fillId="3" borderId="1" xfId="4" applyNumberFormat="1" applyFont="1" applyFill="1" applyBorder="1" applyAlignment="1" applyProtection="1">
      <alignment horizontal="right" vertical="center" shrinkToFit="1"/>
      <protection hidden="1"/>
    </xf>
    <xf numFmtId="0" fontId="9" fillId="0" borderId="1" xfId="4" applyFont="1" applyBorder="1" applyAlignment="1" applyProtection="1">
      <alignment horizontal="center" vertical="center" shrinkToFit="1"/>
      <protection hidden="1"/>
    </xf>
    <xf numFmtId="0" fontId="9" fillId="0" borderId="6" xfId="4" applyFont="1" applyBorder="1" applyAlignment="1" applyProtection="1">
      <alignment horizontal="center" vertical="center" shrinkToFit="1"/>
      <protection hidden="1"/>
    </xf>
    <xf numFmtId="167" fontId="9" fillId="0" borderId="1" xfId="7" applyNumberFormat="1" applyFont="1" applyBorder="1" applyAlignment="1" applyProtection="1">
      <alignment horizontal="center" vertical="center" wrapText="1"/>
      <protection hidden="1"/>
    </xf>
    <xf numFmtId="167" fontId="69" fillId="0" borderId="0" xfId="7" applyNumberFormat="1" applyFont="1" applyAlignment="1" applyProtection="1">
      <alignment horizontal="left" vertical="center" wrapText="1"/>
      <protection hidden="1"/>
    </xf>
    <xf numFmtId="165" fontId="9" fillId="3" borderId="6" xfId="2" applyFont="1" applyFill="1" applyBorder="1" applyAlignment="1" applyProtection="1">
      <alignment horizontal="center" vertical="center"/>
      <protection hidden="1"/>
    </xf>
    <xf numFmtId="165" fontId="9" fillId="3" borderId="3" xfId="2" applyFont="1" applyFill="1" applyBorder="1" applyAlignment="1" applyProtection="1">
      <alignment horizontal="right" vertical="center"/>
      <protection hidden="1"/>
    </xf>
    <xf numFmtId="10" fontId="77" fillId="0" borderId="0" xfId="3" applyNumberFormat="1" applyFont="1" applyFill="1" applyBorder="1" applyAlignment="1" applyProtection="1">
      <alignment horizontal="left" vertical="center" shrinkToFit="1"/>
      <protection hidden="1"/>
    </xf>
    <xf numFmtId="0" fontId="8" fillId="9" borderId="0" xfId="4" applyFont="1" applyFill="1" applyAlignment="1" applyProtection="1">
      <alignment vertical="center"/>
      <protection hidden="1"/>
    </xf>
    <xf numFmtId="0" fontId="43" fillId="9" borderId="0" xfId="0" applyFont="1" applyFill="1" applyAlignment="1" applyProtection="1">
      <alignment vertical="center" wrapText="1"/>
      <protection hidden="1"/>
    </xf>
    <xf numFmtId="0" fontId="52" fillId="9" borderId="0" xfId="0" applyFont="1" applyFill="1" applyAlignment="1" applyProtection="1">
      <alignment vertical="center" wrapText="1"/>
      <protection hidden="1"/>
    </xf>
    <xf numFmtId="0" fontId="52" fillId="9" borderId="0" xfId="4" applyFont="1" applyFill="1" applyAlignment="1" applyProtection="1">
      <alignment vertical="center"/>
      <protection hidden="1"/>
    </xf>
    <xf numFmtId="175" fontId="11" fillId="0" borderId="0" xfId="4" applyNumberFormat="1" applyFont="1" applyAlignment="1" applyProtection="1">
      <alignment vertical="center"/>
      <protection hidden="1"/>
    </xf>
    <xf numFmtId="176" fontId="11" fillId="0" borderId="0" xfId="4" applyNumberFormat="1" applyFont="1" applyAlignment="1" applyProtection="1">
      <alignment vertical="center"/>
      <protection hidden="1"/>
    </xf>
    <xf numFmtId="185" fontId="11" fillId="0" borderId="0" xfId="4" applyNumberFormat="1" applyFont="1" applyAlignment="1" applyProtection="1">
      <alignment vertical="center"/>
      <protection hidden="1"/>
    </xf>
    <xf numFmtId="175" fontId="9" fillId="3" borderId="5" xfId="2" applyNumberFormat="1" applyFont="1" applyFill="1" applyBorder="1" applyAlignment="1" applyProtection="1">
      <alignment horizontal="center" vertical="center" wrapText="1"/>
      <protection hidden="1"/>
    </xf>
    <xf numFmtId="179" fontId="15" fillId="0" borderId="5" xfId="0" applyNumberFormat="1" applyFont="1" applyBorder="1" applyAlignment="1">
      <alignment vertical="center"/>
    </xf>
    <xf numFmtId="0" fontId="8" fillId="14" borderId="3" xfId="4" applyFont="1" applyFill="1" applyBorder="1" applyAlignment="1">
      <alignment horizontal="left" vertical="center" wrapText="1"/>
    </xf>
    <xf numFmtId="0" fontId="8" fillId="14" borderId="1" xfId="4" applyFont="1" applyFill="1" applyBorder="1" applyAlignment="1">
      <alignment horizontal="left" vertical="center" wrapText="1"/>
    </xf>
    <xf numFmtId="172" fontId="9" fillId="0" borderId="0" xfId="4" applyNumberFormat="1" applyFont="1" applyAlignment="1">
      <alignment horizontal="right" vertical="center" wrapText="1"/>
    </xf>
    <xf numFmtId="37" fontId="8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" applyFont="1"/>
    <xf numFmtId="0" fontId="30" fillId="0" borderId="0" xfId="4" applyFont="1" applyAlignment="1">
      <alignment horizontal="center"/>
    </xf>
    <xf numFmtId="0" fontId="26" fillId="0" borderId="0" xfId="4" applyFont="1"/>
    <xf numFmtId="0" fontId="8" fillId="0" borderId="13" xfId="4" applyFont="1" applyBorder="1" applyAlignment="1">
      <alignment horizontal="right" vertical="center" wrapText="1"/>
    </xf>
    <xf numFmtId="0" fontId="43" fillId="0" borderId="0" xfId="4" applyFont="1" applyAlignment="1">
      <alignment horizontal="right" vertical="center" wrapText="1"/>
    </xf>
    <xf numFmtId="0" fontId="8" fillId="0" borderId="3" xfId="4" applyFont="1" applyBorder="1" applyAlignment="1">
      <alignment horizontal="left" vertical="center" wrapText="1"/>
    </xf>
    <xf numFmtId="0" fontId="15" fillId="0" borderId="0" xfId="4" applyFont="1" applyAlignment="1">
      <alignment vertical="center"/>
    </xf>
    <xf numFmtId="0" fontId="27" fillId="0" borderId="0" xfId="4" applyFont="1" applyProtection="1">
      <protection locked="0"/>
    </xf>
    <xf numFmtId="0" fontId="40" fillId="0" borderId="0" xfId="4" applyFont="1" applyAlignment="1">
      <alignment vertical="center"/>
    </xf>
    <xf numFmtId="172" fontId="15" fillId="0" borderId="0" xfId="4" applyNumberFormat="1" applyFont="1" applyAlignment="1">
      <alignment vertical="center"/>
    </xf>
    <xf numFmtId="172" fontId="15" fillId="0" borderId="5" xfId="4" applyNumberFormat="1" applyFont="1" applyBorder="1" applyAlignment="1">
      <alignment vertical="center"/>
    </xf>
    <xf numFmtId="0" fontId="30" fillId="0" borderId="0" xfId="4" applyFont="1" applyAlignment="1">
      <alignment vertical="center"/>
    </xf>
    <xf numFmtId="0" fontId="30" fillId="0" borderId="0" xfId="4" applyFont="1" applyAlignment="1" applyProtection="1">
      <alignment vertical="center"/>
      <protection locked="0"/>
    </xf>
    <xf numFmtId="0" fontId="15" fillId="0" borderId="0" xfId="4" applyFont="1" applyAlignment="1">
      <alignment horizontal="left" vertical="center" wrapText="1"/>
    </xf>
    <xf numFmtId="0" fontId="40" fillId="0" borderId="0" xfId="4" applyFont="1" applyAlignment="1">
      <alignment vertical="center" wrapText="1"/>
    </xf>
    <xf numFmtId="0" fontId="41" fillId="0" borderId="0" xfId="4" applyFont="1" applyAlignment="1">
      <alignment horizontal="center" vertical="center" wrapText="1"/>
    </xf>
    <xf numFmtId="0" fontId="8" fillId="12" borderId="5" xfId="4" applyFont="1" applyFill="1" applyBorder="1" applyAlignment="1">
      <alignment horizontal="center" vertical="center" wrapText="1"/>
    </xf>
    <xf numFmtId="0" fontId="45" fillId="13" borderId="5" xfId="4" applyFont="1" applyFill="1" applyBorder="1" applyAlignment="1">
      <alignment horizontal="center" vertical="center" wrapText="1"/>
    </xf>
    <xf numFmtId="0" fontId="59" fillId="14" borderId="2" xfId="4" applyFont="1" applyFill="1" applyBorder="1" applyAlignment="1" applyProtection="1">
      <alignment vertical="center"/>
      <protection hidden="1"/>
    </xf>
    <xf numFmtId="0" fontId="1" fillId="14" borderId="4" xfId="4" applyFill="1" applyBorder="1" applyProtection="1">
      <protection hidden="1"/>
    </xf>
    <xf numFmtId="0" fontId="26" fillId="14" borderId="4" xfId="4" applyFont="1" applyFill="1" applyBorder="1" applyAlignment="1" applyProtection="1">
      <alignment vertical="center"/>
      <protection hidden="1"/>
    </xf>
    <xf numFmtId="0" fontId="1" fillId="0" borderId="0" xfId="4" applyAlignment="1">
      <alignment wrapText="1"/>
    </xf>
    <xf numFmtId="0" fontId="1" fillId="0" borderId="0" xfId="4" applyAlignment="1">
      <alignment vertical="center"/>
    </xf>
    <xf numFmtId="0" fontId="32" fillId="0" borderId="0" xfId="4" applyFont="1" applyAlignment="1" applyProtection="1">
      <alignment horizontal="right"/>
      <protection hidden="1"/>
    </xf>
    <xf numFmtId="0" fontId="33" fillId="0" borderId="0" xfId="4" applyFont="1" applyAlignment="1">
      <alignment vertical="center"/>
    </xf>
    <xf numFmtId="0" fontId="35" fillId="0" borderId="0" xfId="4" applyFont="1" applyAlignment="1">
      <alignment vertical="center"/>
    </xf>
    <xf numFmtId="0" fontId="1" fillId="0" borderId="0" xfId="4" applyProtection="1">
      <protection hidden="1"/>
    </xf>
    <xf numFmtId="0" fontId="12" fillId="10" borderId="6" xfId="4" applyFont="1" applyFill="1" applyBorder="1" applyAlignment="1" applyProtection="1">
      <alignment horizontal="center" vertical="center" wrapText="1"/>
      <protection hidden="1"/>
    </xf>
    <xf numFmtId="0" fontId="12" fillId="17" borderId="24" xfId="4" applyFont="1" applyFill="1" applyBorder="1" applyAlignment="1" applyProtection="1">
      <alignment horizontal="center" vertical="center" wrapText="1"/>
      <protection hidden="1"/>
    </xf>
    <xf numFmtId="0" fontId="1" fillId="9" borderId="0" xfId="4" applyFill="1"/>
    <xf numFmtId="0" fontId="53" fillId="9" borderId="0" xfId="4" applyFont="1" applyFill="1" applyAlignment="1" applyProtection="1">
      <alignment horizontal="center" vertical="center"/>
      <protection locked="0" hidden="1"/>
    </xf>
    <xf numFmtId="174" fontId="26" fillId="14" borderId="0" xfId="4" applyNumberFormat="1" applyFont="1" applyFill="1" applyAlignment="1" applyProtection="1">
      <alignment horizontal="center" vertical="center"/>
      <protection hidden="1"/>
    </xf>
    <xf numFmtId="174" fontId="30" fillId="14" borderId="0" xfId="4" applyNumberFormat="1" applyFont="1" applyFill="1" applyAlignment="1" applyProtection="1">
      <alignment horizontal="center" vertical="center"/>
      <protection hidden="1"/>
    </xf>
    <xf numFmtId="174" fontId="26" fillId="14" borderId="0" xfId="4" applyNumberFormat="1" applyFont="1" applyFill="1" applyAlignment="1" applyProtection="1">
      <alignment vertical="center"/>
      <protection hidden="1"/>
    </xf>
    <xf numFmtId="174" fontId="25" fillId="14" borderId="0" xfId="4" applyNumberFormat="1" applyFont="1" applyFill="1" applyAlignment="1" applyProtection="1">
      <alignment vertical="center"/>
      <protection hidden="1"/>
    </xf>
    <xf numFmtId="0" fontId="43" fillId="9" borderId="0" xfId="4" applyFont="1" applyFill="1" applyAlignment="1" applyProtection="1">
      <alignment horizontal="center" vertical="center"/>
      <protection hidden="1"/>
    </xf>
    <xf numFmtId="0" fontId="27" fillId="0" borderId="5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12" fillId="14" borderId="2" xfId="4" applyFont="1" applyFill="1" applyBorder="1" applyAlignment="1" applyProtection="1">
      <alignment vertical="center"/>
      <protection hidden="1"/>
    </xf>
    <xf numFmtId="0" fontId="30" fillId="14" borderId="0" xfId="4" applyFont="1" applyFill="1" applyAlignment="1" applyProtection="1">
      <alignment vertical="center"/>
      <protection hidden="1"/>
    </xf>
    <xf numFmtId="174" fontId="30" fillId="14" borderId="7" xfId="4" applyNumberFormat="1" applyFont="1" applyFill="1" applyBorder="1" applyAlignment="1" applyProtection="1">
      <alignment horizontal="center" vertical="center"/>
      <protection hidden="1"/>
    </xf>
    <xf numFmtId="174" fontId="27" fillId="14" borderId="5" xfId="4" applyNumberFormat="1" applyFont="1" applyFill="1" applyBorder="1" applyAlignment="1" applyProtection="1">
      <alignment vertical="center" wrapText="1"/>
      <protection hidden="1"/>
    </xf>
    <xf numFmtId="174" fontId="27" fillId="14" borderId="5" xfId="4" applyNumberFormat="1" applyFont="1" applyFill="1" applyBorder="1" applyAlignment="1" applyProtection="1">
      <alignment vertical="center"/>
      <protection hidden="1"/>
    </xf>
    <xf numFmtId="174" fontId="27" fillId="0" borderId="5" xfId="4" applyNumberFormat="1" applyFont="1" applyBorder="1" applyAlignment="1" applyProtection="1">
      <alignment vertical="center"/>
      <protection hidden="1"/>
    </xf>
    <xf numFmtId="174" fontId="27" fillId="0" borderId="0" xfId="4" applyNumberFormat="1" applyFont="1" applyAlignment="1" applyProtection="1">
      <alignment vertical="center"/>
      <protection hidden="1"/>
    </xf>
    <xf numFmtId="0" fontId="53" fillId="0" borderId="0" xfId="4" applyFont="1" applyAlignment="1" applyProtection="1">
      <alignment horizontal="center" vertical="center"/>
      <protection locked="0" hidden="1"/>
    </xf>
    <xf numFmtId="0" fontId="62" fillId="0" borderId="0" xfId="4" applyFont="1" applyProtection="1">
      <protection hidden="1"/>
    </xf>
    <xf numFmtId="0" fontId="12" fillId="0" borderId="4" xfId="4" applyFont="1" applyBorder="1" applyAlignment="1" applyProtection="1">
      <alignment horizontal="center" vertical="center"/>
      <protection hidden="1"/>
    </xf>
    <xf numFmtId="0" fontId="12" fillId="19" borderId="5" xfId="4" applyFont="1" applyFill="1" applyBorder="1" applyAlignment="1" applyProtection="1">
      <alignment horizontal="center" vertical="center" wrapText="1"/>
      <protection hidden="1"/>
    </xf>
    <xf numFmtId="0" fontId="12" fillId="0" borderId="1" xfId="4" applyFont="1" applyBorder="1" applyAlignment="1" applyProtection="1">
      <alignment horizontal="left" vertical="center"/>
      <protection hidden="1"/>
    </xf>
    <xf numFmtId="0" fontId="12" fillId="18" borderId="1" xfId="4" applyFont="1" applyFill="1" applyBorder="1" applyAlignment="1" applyProtection="1">
      <alignment vertical="center"/>
      <protection hidden="1"/>
    </xf>
    <xf numFmtId="175" fontId="26" fillId="0" borderId="9" xfId="4" applyNumberFormat="1" applyFont="1" applyBorder="1" applyAlignment="1" applyProtection="1">
      <alignment horizontal="center" vertical="center" wrapText="1"/>
      <protection hidden="1"/>
    </xf>
    <xf numFmtId="175" fontId="26" fillId="0" borderId="5" xfId="4" applyNumberFormat="1" applyFont="1" applyBorder="1" applyAlignment="1" applyProtection="1">
      <alignment horizontal="center" vertical="center" wrapText="1"/>
      <protection hidden="1"/>
    </xf>
    <xf numFmtId="0" fontId="30" fillId="0" borderId="0" xfId="4" applyFont="1" applyAlignment="1" applyProtection="1">
      <alignment horizontal="center" vertical="center"/>
      <protection hidden="1"/>
    </xf>
    <xf numFmtId="0" fontId="51" fillId="9" borderId="0" xfId="4" applyFont="1" applyFill="1" applyAlignment="1" applyProtection="1">
      <alignment horizontal="right" vertical="center" wrapText="1"/>
      <protection locked="0"/>
    </xf>
    <xf numFmtId="6" fontId="15" fillId="3" borderId="5" xfId="2" applyNumberFormat="1" applyFont="1" applyFill="1" applyBorder="1" applyAlignment="1" applyProtection="1">
      <alignment horizontal="center" vertical="center" shrinkToFit="1"/>
    </xf>
    <xf numFmtId="6" fontId="15" fillId="3" borderId="9" xfId="2" applyNumberFormat="1" applyFont="1" applyFill="1" applyBorder="1" applyAlignment="1" applyProtection="1">
      <alignment horizontal="center" vertical="center" shrinkToFit="1"/>
    </xf>
    <xf numFmtId="0" fontId="12" fillId="0" borderId="3" xfId="4" applyFont="1" applyBorder="1" applyAlignment="1">
      <alignment horizontal="right" vertical="center" wrapText="1"/>
    </xf>
    <xf numFmtId="0" fontId="12" fillId="0" borderId="6" xfId="4" applyFont="1" applyBorder="1" applyAlignment="1">
      <alignment horizontal="right" vertical="center" wrapText="1"/>
    </xf>
    <xf numFmtId="0" fontId="20" fillId="8" borderId="0" xfId="4" applyFont="1" applyFill="1" applyAlignment="1">
      <alignment horizontal="center" vertical="center" wrapText="1"/>
    </xf>
    <xf numFmtId="0" fontId="1" fillId="0" borderId="0" xfId="4" applyAlignment="1">
      <alignment vertical="center" wrapText="1"/>
    </xf>
    <xf numFmtId="0" fontId="10" fillId="5" borderId="15" xfId="4" applyFont="1" applyFill="1" applyBorder="1" applyAlignment="1" applyProtection="1">
      <alignment horizontal="center" vertical="center" wrapText="1"/>
      <protection locked="0"/>
    </xf>
    <xf numFmtId="0" fontId="12" fillId="5" borderId="15" xfId="4" applyFont="1" applyFill="1" applyBorder="1" applyAlignment="1" applyProtection="1">
      <alignment horizontal="center" vertical="center" wrapText="1"/>
      <protection locked="0"/>
    </xf>
    <xf numFmtId="0" fontId="12" fillId="5" borderId="25" xfId="4" applyFont="1" applyFill="1" applyBorder="1" applyAlignment="1" applyProtection="1">
      <alignment horizontal="center" vertical="center" wrapText="1"/>
      <protection locked="0"/>
    </xf>
    <xf numFmtId="0" fontId="10" fillId="5" borderId="25" xfId="4" applyFont="1" applyFill="1" applyBorder="1" applyAlignment="1" applyProtection="1">
      <alignment horizontal="center" vertical="center" wrapText="1"/>
      <protection locked="0"/>
    </xf>
    <xf numFmtId="14" fontId="10" fillId="5" borderId="15" xfId="4" applyNumberFormat="1" applyFont="1" applyFill="1" applyBorder="1" applyAlignment="1" applyProtection="1">
      <alignment horizontal="center" vertical="center" wrapText="1"/>
      <protection locked="0"/>
    </xf>
    <xf numFmtId="0" fontId="10" fillId="5" borderId="8" xfId="4" applyFont="1" applyFill="1" applyBorder="1" applyAlignment="1" applyProtection="1">
      <alignment horizontal="center" vertical="center" wrapText="1"/>
      <protection locked="0"/>
    </xf>
    <xf numFmtId="0" fontId="8" fillId="7" borderId="3" xfId="4" applyFont="1" applyFill="1" applyBorder="1" applyAlignment="1">
      <alignment horizontal="center" vertical="center" wrapText="1"/>
    </xf>
    <xf numFmtId="0" fontId="8" fillId="7" borderId="6" xfId="4" applyFont="1" applyFill="1" applyBorder="1" applyAlignment="1">
      <alignment horizontal="center" vertical="center" wrapText="1"/>
    </xf>
    <xf numFmtId="0" fontId="8" fillId="0" borderId="5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left" vertical="center" wrapText="1"/>
    </xf>
    <xf numFmtId="0" fontId="8" fillId="0" borderId="3" xfId="4" applyFont="1" applyBorder="1" applyAlignment="1">
      <alignment horizontal="left" vertical="center" wrapText="1"/>
    </xf>
    <xf numFmtId="0" fontId="8" fillId="0" borderId="6" xfId="4" applyFont="1" applyBorder="1" applyAlignment="1">
      <alignment horizontal="left" vertical="center" wrapText="1"/>
    </xf>
    <xf numFmtId="0" fontId="1" fillId="0" borderId="1" xfId="4" applyBorder="1" applyAlignment="1">
      <alignment horizontal="right" vertical="center" wrapText="1"/>
    </xf>
    <xf numFmtId="0" fontId="1" fillId="0" borderId="6" xfId="4" applyBorder="1" applyAlignment="1">
      <alignment horizontal="right" vertical="center" wrapText="1"/>
    </xf>
    <xf numFmtId="0" fontId="49" fillId="0" borderId="3" xfId="4" applyFont="1" applyBorder="1" applyAlignment="1">
      <alignment horizontal="right" vertical="center" wrapText="1"/>
    </xf>
    <xf numFmtId="0" fontId="12" fillId="18" borderId="3" xfId="4" applyFont="1" applyFill="1" applyBorder="1" applyAlignment="1">
      <alignment horizontal="right" vertical="center" wrapText="1"/>
    </xf>
    <xf numFmtId="0" fontId="12" fillId="0" borderId="12" xfId="4" applyFont="1" applyBorder="1" applyAlignment="1">
      <alignment vertical="center" wrapText="1"/>
    </xf>
    <xf numFmtId="0" fontId="9" fillId="0" borderId="9" xfId="4" applyFont="1" applyBorder="1" applyAlignment="1">
      <alignment vertical="center" wrapText="1"/>
    </xf>
    <xf numFmtId="0" fontId="24" fillId="2" borderId="17" xfId="4" applyFont="1" applyFill="1" applyBorder="1" applyAlignment="1" applyProtection="1">
      <alignment horizontal="left" vertical="top" wrapText="1"/>
      <protection locked="0"/>
    </xf>
    <xf numFmtId="0" fontId="11" fillId="2" borderId="18" xfId="4" applyFont="1" applyFill="1" applyBorder="1" applyAlignment="1" applyProtection="1">
      <alignment horizontal="left" vertical="top" wrapText="1"/>
      <protection locked="0"/>
    </xf>
    <xf numFmtId="0" fontId="1" fillId="0" borderId="18" xfId="4" applyBorder="1" applyAlignment="1" applyProtection="1">
      <alignment wrapText="1"/>
      <protection locked="0"/>
    </xf>
    <xf numFmtId="0" fontId="1" fillId="0" borderId="11" xfId="4" applyBorder="1" applyAlignment="1">
      <alignment wrapText="1"/>
    </xf>
    <xf numFmtId="0" fontId="11" fillId="2" borderId="14" xfId="4" applyFont="1" applyFill="1" applyBorder="1" applyAlignment="1" applyProtection="1">
      <alignment horizontal="left" vertical="top" wrapText="1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" fillId="0" borderId="4" xfId="4" applyBorder="1" applyAlignment="1" applyProtection="1">
      <alignment wrapText="1"/>
      <protection locked="0"/>
    </xf>
    <xf numFmtId="0" fontId="1" fillId="0" borderId="19" xfId="4" applyBorder="1" applyAlignment="1">
      <alignment wrapText="1"/>
    </xf>
    <xf numFmtId="0" fontId="59" fillId="14" borderId="17" xfId="4" applyFont="1" applyFill="1" applyBorder="1" applyAlignment="1" applyProtection="1">
      <alignment horizontal="center" vertical="center" wrapText="1"/>
      <protection hidden="1"/>
    </xf>
    <xf numFmtId="0" fontId="59" fillId="0" borderId="11" xfId="4" applyFont="1" applyBorder="1" applyAlignment="1">
      <alignment horizontal="center" vertical="center" wrapText="1"/>
    </xf>
    <xf numFmtId="0" fontId="59" fillId="0" borderId="14" xfId="4" applyFont="1" applyBorder="1" applyAlignment="1">
      <alignment horizontal="center" vertical="center" wrapText="1"/>
    </xf>
    <xf numFmtId="0" fontId="59" fillId="0" borderId="19" xfId="4" applyFont="1" applyBorder="1" applyAlignment="1">
      <alignment horizontal="center" vertical="center" wrapText="1"/>
    </xf>
    <xf numFmtId="0" fontId="32" fillId="0" borderId="3" xfId="4" applyFont="1" applyBorder="1" applyAlignment="1">
      <alignment horizontal="center" vertical="center" wrapText="1"/>
    </xf>
    <xf numFmtId="0" fontId="1" fillId="0" borderId="6" xfId="4" applyBorder="1" applyAlignment="1">
      <alignment horizontal="center" vertical="center" wrapText="1"/>
    </xf>
    <xf numFmtId="0" fontId="8" fillId="0" borderId="1" xfId="4" applyFont="1" applyBorder="1" applyAlignment="1" applyProtection="1">
      <alignment horizontal="right" vertical="center" wrapText="1"/>
      <protection hidden="1"/>
    </xf>
    <xf numFmtId="0" fontId="73" fillId="17" borderId="27" xfId="2" applyNumberFormat="1" applyFont="1" applyFill="1" applyBorder="1" applyAlignment="1" applyProtection="1">
      <alignment horizontal="center" vertical="center" wrapText="1"/>
      <protection hidden="1"/>
    </xf>
    <xf numFmtId="0" fontId="73" fillId="17" borderId="28" xfId="2" applyNumberFormat="1" applyFont="1" applyFill="1" applyBorder="1" applyAlignment="1" applyProtection="1">
      <alignment horizontal="center" vertical="center" wrapText="1"/>
      <protection hidden="1"/>
    </xf>
    <xf numFmtId="0" fontId="12" fillId="10" borderId="3" xfId="4" applyFont="1" applyFill="1" applyBorder="1" applyAlignment="1" applyProtection="1">
      <alignment horizontal="center" vertical="center" wrapText="1"/>
      <protection hidden="1"/>
    </xf>
    <xf numFmtId="0" fontId="12" fillId="12" borderId="3" xfId="4" applyFont="1" applyFill="1" applyBorder="1" applyAlignment="1" applyProtection="1">
      <alignment horizontal="center" vertical="center" wrapText="1"/>
      <protection hidden="1"/>
    </xf>
    <xf numFmtId="0" fontId="12" fillId="12" borderId="1" xfId="4" applyFont="1" applyFill="1" applyBorder="1" applyAlignment="1" applyProtection="1">
      <alignment horizontal="center" vertical="center" wrapText="1"/>
      <protection hidden="1"/>
    </xf>
    <xf numFmtId="0" fontId="12" fillId="12" borderId="6" xfId="4" applyFont="1" applyFill="1" applyBorder="1" applyAlignment="1" applyProtection="1">
      <alignment horizontal="center" vertical="center" wrapText="1"/>
      <protection hidden="1"/>
    </xf>
    <xf numFmtId="0" fontId="12" fillId="11" borderId="3" xfId="4" applyFont="1" applyFill="1" applyBorder="1" applyAlignment="1" applyProtection="1">
      <alignment horizontal="center" vertical="center" wrapText="1"/>
      <protection hidden="1"/>
    </xf>
    <xf numFmtId="0" fontId="12" fillId="11" borderId="1" xfId="4" applyFont="1" applyFill="1" applyBorder="1" applyAlignment="1" applyProtection="1">
      <alignment horizontal="center" vertical="center" wrapText="1"/>
      <protection hidden="1"/>
    </xf>
    <xf numFmtId="0" fontId="12" fillId="11" borderId="6" xfId="4" applyFont="1" applyFill="1" applyBorder="1" applyAlignment="1" applyProtection="1">
      <alignment horizontal="center" vertical="center" wrapText="1"/>
      <protection hidden="1"/>
    </xf>
    <xf numFmtId="0" fontId="12" fillId="8" borderId="3" xfId="4" applyFont="1" applyFill="1" applyBorder="1" applyAlignment="1" applyProtection="1">
      <alignment horizontal="center" vertical="center" wrapText="1"/>
      <protection hidden="1"/>
    </xf>
    <xf numFmtId="0" fontId="12" fillId="8" borderId="5" xfId="4" applyFont="1" applyFill="1" applyBorder="1" applyAlignment="1" applyProtection="1">
      <alignment horizontal="center" vertical="center" wrapText="1"/>
      <protection hidden="1"/>
    </xf>
    <xf numFmtId="0" fontId="9" fillId="0" borderId="1" xfId="4" applyFont="1" applyBorder="1" applyAlignment="1" applyProtection="1">
      <alignment horizontal="center" vertical="center" wrapText="1"/>
      <protection hidden="1"/>
    </xf>
    <xf numFmtId="0" fontId="1" fillId="0" borderId="1" xfId="4" applyBorder="1" applyAlignment="1">
      <alignment horizontal="center" vertical="center" wrapText="1"/>
    </xf>
    <xf numFmtId="0" fontId="27" fillId="3" borderId="3" xfId="0" applyFont="1" applyFill="1" applyBorder="1" applyAlignment="1" applyProtection="1">
      <alignment horizontal="left" vertical="center" wrapText="1"/>
      <protection hidden="1"/>
    </xf>
    <xf numFmtId="0" fontId="27" fillId="3" borderId="1" xfId="0" applyFont="1" applyFill="1" applyBorder="1" applyAlignment="1" applyProtection="1">
      <alignment horizontal="left" vertical="center" wrapText="1"/>
      <protection hidden="1"/>
    </xf>
    <xf numFmtId="0" fontId="27" fillId="3" borderId="6" xfId="0" applyFont="1" applyFill="1" applyBorder="1" applyAlignment="1" applyProtection="1">
      <alignment horizontal="left" vertical="center" wrapText="1"/>
      <protection hidden="1"/>
    </xf>
    <xf numFmtId="0" fontId="26" fillId="3" borderId="3" xfId="0" applyFont="1" applyFill="1" applyBorder="1" applyAlignment="1" applyProtection="1">
      <alignment horizontal="right" vertical="center" wrapText="1"/>
      <protection hidden="1"/>
    </xf>
    <xf numFmtId="0" fontId="26" fillId="3" borderId="6" xfId="0" applyFont="1" applyFill="1" applyBorder="1" applyAlignment="1" applyProtection="1">
      <alignment horizontal="right" vertical="center" wrapText="1"/>
      <protection hidden="1"/>
    </xf>
    <xf numFmtId="0" fontId="26" fillId="3" borderId="3" xfId="0" applyFont="1" applyFill="1" applyBorder="1" applyAlignment="1" applyProtection="1">
      <alignment horizontal="left" vertical="center" wrapText="1"/>
      <protection hidden="1"/>
    </xf>
    <xf numFmtId="0" fontId="26" fillId="3" borderId="1" xfId="0" applyFont="1" applyFill="1" applyBorder="1" applyAlignment="1" applyProtection="1">
      <alignment horizontal="left" vertical="center" wrapText="1"/>
      <protection hidden="1"/>
    </xf>
    <xf numFmtId="0" fontId="26" fillId="3" borderId="6" xfId="0" applyFont="1" applyFill="1" applyBorder="1" applyAlignment="1" applyProtection="1">
      <alignment horizontal="left" vertical="center" wrapText="1"/>
      <protection hidden="1"/>
    </xf>
    <xf numFmtId="0" fontId="6" fillId="17" borderId="5" xfId="4" applyFont="1" applyFill="1" applyBorder="1" applyAlignment="1" applyProtection="1">
      <alignment horizontal="center" vertical="center" wrapText="1"/>
      <protection hidden="1"/>
    </xf>
    <xf numFmtId="0" fontId="1" fillId="0" borderId="5" xfId="4" applyBorder="1" applyAlignment="1">
      <alignment horizontal="center" vertical="center" wrapText="1"/>
    </xf>
    <xf numFmtId="0" fontId="12" fillId="10" borderId="5" xfId="0" applyFont="1" applyFill="1" applyBorder="1" applyAlignment="1" applyProtection="1">
      <alignment horizontal="center" vertical="center" wrapText="1"/>
      <protection hidden="1"/>
    </xf>
    <xf numFmtId="0" fontId="41" fillId="6" borderId="0" xfId="0" applyFont="1" applyFill="1" applyAlignment="1" applyProtection="1">
      <alignment horizontal="left" vertical="center"/>
      <protection hidden="1"/>
    </xf>
    <xf numFmtId="0" fontId="12" fillId="11" borderId="3" xfId="0" applyFont="1" applyFill="1" applyBorder="1" applyAlignment="1" applyProtection="1">
      <alignment horizontal="center" vertical="center" wrapText="1"/>
      <protection hidden="1"/>
    </xf>
    <xf numFmtId="0" fontId="12" fillId="11" borderId="1" xfId="0" applyFont="1" applyFill="1" applyBorder="1" applyAlignment="1" applyProtection="1">
      <alignment horizontal="center" vertical="center" wrapText="1"/>
      <protection hidden="1"/>
    </xf>
    <xf numFmtId="0" fontId="12" fillId="11" borderId="6" xfId="0" applyFont="1" applyFill="1" applyBorder="1" applyAlignment="1" applyProtection="1">
      <alignment horizontal="center" vertical="center" wrapText="1"/>
      <protection hidden="1"/>
    </xf>
    <xf numFmtId="0" fontId="12" fillId="8" borderId="5" xfId="0" applyFont="1" applyFill="1" applyBorder="1" applyAlignment="1" applyProtection="1">
      <alignment horizontal="center" vertical="center" wrapText="1"/>
      <protection hidden="1"/>
    </xf>
    <xf numFmtId="0" fontId="8" fillId="7" borderId="3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49" fillId="0" borderId="5" xfId="4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8" fillId="14" borderId="3" xfId="4" applyFont="1" applyFill="1" applyBorder="1" applyAlignment="1">
      <alignment horizontal="left" vertical="center" wrapText="1"/>
    </xf>
    <xf numFmtId="0" fontId="8" fillId="14" borderId="1" xfId="4" applyFont="1" applyFill="1" applyBorder="1" applyAlignment="1">
      <alignment horizontal="left" vertical="center" wrapText="1"/>
    </xf>
    <xf numFmtId="0" fontId="12" fillId="18" borderId="5" xfId="0" applyFont="1" applyFill="1" applyBorder="1" applyAlignment="1">
      <alignment horizontal="right" vertical="center" wrapText="1"/>
    </xf>
    <xf numFmtId="0" fontId="3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48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2" fillId="0" borderId="5" xfId="4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4" fillId="2" borderId="18" xfId="4" applyFon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13" fillId="14" borderId="17" xfId="4" applyFont="1" applyFill="1" applyBorder="1" applyAlignment="1" applyProtection="1">
      <alignment horizontal="center" vertical="center" wrapText="1"/>
      <protection hidden="1"/>
    </xf>
    <xf numFmtId="0" fontId="1" fillId="0" borderId="18" xfId="4" applyBorder="1" applyAlignment="1">
      <alignment horizontal="center" vertical="center"/>
    </xf>
    <xf numFmtId="0" fontId="1" fillId="0" borderId="14" xfId="4" applyBorder="1" applyAlignment="1">
      <alignment horizontal="center" vertical="center"/>
    </xf>
    <xf numFmtId="0" fontId="1" fillId="0" borderId="4" xfId="4" applyBorder="1" applyAlignment="1">
      <alignment horizontal="center" vertical="center"/>
    </xf>
    <xf numFmtId="0" fontId="1" fillId="0" borderId="6" xfId="7" applyBorder="1" applyAlignment="1" applyProtection="1">
      <alignment horizontal="right" vertical="center"/>
      <protection hidden="1"/>
    </xf>
    <xf numFmtId="0" fontId="20" fillId="8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0" fillId="5" borderId="1" xfId="4" applyFont="1" applyFill="1" applyBorder="1" applyAlignment="1" applyProtection="1">
      <alignment horizontal="center" vertical="center" wrapText="1"/>
      <protection locked="0"/>
    </xf>
    <xf numFmtId="0" fontId="12" fillId="5" borderId="1" xfId="4" applyFont="1" applyFill="1" applyBorder="1" applyAlignment="1" applyProtection="1">
      <alignment horizontal="center" vertical="center" wrapText="1"/>
      <protection locked="0"/>
    </xf>
    <xf numFmtId="0" fontId="12" fillId="5" borderId="6" xfId="4" applyFont="1" applyFill="1" applyBorder="1" applyAlignment="1" applyProtection="1">
      <alignment horizontal="center" vertical="center" wrapText="1"/>
      <protection locked="0"/>
    </xf>
    <xf numFmtId="14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5" borderId="6" xfId="4" applyFont="1" applyFill="1" applyBorder="1" applyAlignment="1" applyProtection="1">
      <alignment horizontal="center" vertical="center" wrapText="1"/>
      <protection locked="0"/>
    </xf>
    <xf numFmtId="0" fontId="8" fillId="0" borderId="3" xfId="4" applyFont="1" applyBorder="1" applyAlignment="1">
      <alignment horizontal="right" vertical="center" wrapText="1"/>
    </xf>
    <xf numFmtId="0" fontId="8" fillId="0" borderId="6" xfId="4" applyFont="1" applyBorder="1" applyAlignment="1">
      <alignment horizontal="right" vertical="center" wrapText="1"/>
    </xf>
    <xf numFmtId="0" fontId="12" fillId="7" borderId="3" xfId="4" applyFont="1" applyFill="1" applyBorder="1" applyAlignment="1">
      <alignment horizontal="center" vertical="center"/>
    </xf>
    <xf numFmtId="0" fontId="8" fillId="7" borderId="6" xfId="4" applyFont="1" applyFill="1" applyBorder="1" applyAlignment="1">
      <alignment horizontal="center" vertical="center"/>
    </xf>
    <xf numFmtId="0" fontId="9" fillId="0" borderId="5" xfId="4" applyFont="1" applyBorder="1" applyAlignment="1" applyProtection="1">
      <alignment horizontal="center" vertical="center" wrapText="1"/>
      <protection hidden="1"/>
    </xf>
    <xf numFmtId="9" fontId="9" fillId="0" borderId="5" xfId="4" applyNumberFormat="1" applyFont="1" applyBorder="1" applyAlignment="1" applyProtection="1">
      <alignment horizontal="center" vertical="center" wrapText="1"/>
      <protection hidden="1"/>
    </xf>
    <xf numFmtId="0" fontId="8" fillId="14" borderId="1" xfId="4" applyFont="1" applyFill="1" applyBorder="1" applyAlignment="1" applyProtection="1">
      <alignment vertical="center" wrapText="1"/>
      <protection hidden="1"/>
    </xf>
  </cellXfs>
  <cellStyles count="9">
    <cellStyle name="Milliers [0]" xfId="1" builtinId="6"/>
    <cellStyle name="Monétaire [0]" xfId="2" builtinId="7"/>
    <cellStyle name="Monétaire 2" xfId="5" xr:uid="{84D04B93-411A-4C2C-8F48-119ABFDCAC65}"/>
    <cellStyle name="Monétaire 2 2" xfId="8" xr:uid="{2ADBD16B-AD11-4B98-8898-4FA0074D05C6}"/>
    <cellStyle name="Monétaire 3" xfId="6" xr:uid="{28CA1507-ACF2-48A2-A328-A01B94897912}"/>
    <cellStyle name="Normal" xfId="0" builtinId="0"/>
    <cellStyle name="Normal 2" xfId="4" xr:uid="{EE046D95-4259-4A10-9DEF-5D9B78A2DBDD}"/>
    <cellStyle name="Normal 3 2" xfId="7" xr:uid="{A4901C80-F276-4D30-AC20-3C6BEB39B6AE}"/>
    <cellStyle name="Pourcentage" xfId="3" builtinId="5"/>
  </cellStyles>
  <dxfs count="54">
    <dxf>
      <font>
        <color rgb="FF9C0006"/>
      </font>
    </dxf>
    <dxf>
      <font>
        <color theme="0" tint="-0.2499465926084170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00000"/>
      </font>
    </dxf>
    <dxf>
      <font>
        <color rgb="FFFF0000"/>
      </font>
      <fill>
        <patternFill patternType="none">
          <bgColor auto="1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border>
        <top style="thin">
          <color auto="1"/>
        </top>
        <vertical/>
        <horizontal/>
      </border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FF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strike val="0"/>
        <color rgb="FFFF0000"/>
      </font>
    </dxf>
    <dxf>
      <font>
        <color rgb="FFC00000"/>
      </font>
    </dxf>
  </dxfs>
  <tableStyles count="0" defaultTableStyle="TableStyleMedium9" defaultPivotStyle="PivotStyleLight16"/>
  <colors>
    <mruColors>
      <color rgb="FF1F497D"/>
      <color rgb="FFF79646"/>
      <color rgb="FFFDE9D9"/>
      <color rgb="FFFCD5B4"/>
      <color rgb="FFE1EB81"/>
      <color rgb="FFD9D9D9"/>
      <color rgb="FFBFBFBF"/>
      <color rgb="FFFABF8F"/>
      <color rgb="FFF4750C"/>
      <color rgb="FFF8A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20" dropStyle="combo" dx="16" fmlaLink="$A$70" fmlaRange="$B$71:$B$90" sel="20" val="0"/>
</file>

<file path=xl/ctrlProps/ctrlProp2.xml><?xml version="1.0" encoding="utf-8"?>
<formControlPr xmlns="http://schemas.microsoft.com/office/spreadsheetml/2009/9/main" objectType="Drop" dropLines="18" dropStyle="combo" dx="16" fmlaLink="$A$70" fmlaRange="$B$70:$B$87" sel="18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</xdr:row>
          <xdr:rowOff>266700</xdr:rowOff>
        </xdr:from>
        <xdr:to>
          <xdr:col>5</xdr:col>
          <xdr:colOff>472440</xdr:colOff>
          <xdr:row>5</xdr:row>
          <xdr:rowOff>53340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104814</xdr:colOff>
      <xdr:row>0</xdr:row>
      <xdr:rowOff>47664</xdr:rowOff>
    </xdr:from>
    <xdr:ext cx="735429" cy="757429"/>
    <xdr:pic>
      <xdr:nvPicPr>
        <xdr:cNvPr id="2" name="Image 1">
          <a:extLst>
            <a:ext uri="{FF2B5EF4-FFF2-40B4-BE49-F238E27FC236}">
              <a16:creationId xmlns:a16="http://schemas.microsoft.com/office/drawing/2014/main" id="{825ECA65-2B1C-48AB-8777-2E9AC857A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14" y="47664"/>
          <a:ext cx="735429" cy="7574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</xdr:row>
          <xdr:rowOff>266700</xdr:rowOff>
        </xdr:from>
        <xdr:to>
          <xdr:col>5</xdr:col>
          <xdr:colOff>657225</xdr:colOff>
          <xdr:row>5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95289</xdr:colOff>
      <xdr:row>0</xdr:row>
      <xdr:rowOff>57189</xdr:rowOff>
    </xdr:from>
    <xdr:ext cx="735429" cy="757429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89" y="57189"/>
          <a:ext cx="735429" cy="757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62B7-8915-48F3-B21B-A1F53097419D}">
  <sheetPr>
    <tabColor rgb="FFFF0000"/>
  </sheetPr>
  <dimension ref="A1:AQ240"/>
  <sheetViews>
    <sheetView tabSelected="1" zoomScaleNormal="100" zoomScaleSheetLayoutView="100" workbookViewId="0">
      <selection activeCell="B2" sqref="B2:E2"/>
    </sheetView>
  </sheetViews>
  <sheetFormatPr baseColWidth="10" defaultColWidth="8.90625" defaultRowHeight="13.8" x14ac:dyDescent="0.3"/>
  <cols>
    <col min="1" max="1" width="10.54296875" style="7" customWidth="1"/>
    <col min="2" max="2" width="15.08984375" style="8" customWidth="1"/>
    <col min="3" max="3" width="13.81640625" style="7" customWidth="1"/>
    <col min="4" max="4" width="15.36328125" style="7" customWidth="1"/>
    <col min="5" max="12" width="13.81640625" style="7" customWidth="1"/>
    <col min="13" max="13" width="12.7265625" style="7" customWidth="1"/>
    <col min="14" max="21" width="1.1796875" style="7" hidden="1" customWidth="1"/>
    <col min="22" max="26" width="8.90625" style="7" hidden="1" customWidth="1"/>
    <col min="27" max="43" width="8.90625" style="7"/>
    <col min="44" max="16384" width="8.90625" style="54"/>
  </cols>
  <sheetData>
    <row r="1" spans="1:38" s="400" customFormat="1" ht="71.400000000000006" customHeight="1" thickBot="1" x14ac:dyDescent="0.35">
      <c r="A1" s="398"/>
      <c r="B1" s="399"/>
      <c r="C1" s="457" t="s">
        <v>193</v>
      </c>
      <c r="D1" s="457"/>
      <c r="E1" s="457"/>
      <c r="F1" s="457"/>
      <c r="G1" s="457"/>
      <c r="H1" s="457"/>
      <c r="I1" s="457"/>
      <c r="J1" s="457"/>
      <c r="K1" s="458"/>
      <c r="L1" s="458"/>
      <c r="M1" s="49"/>
      <c r="N1" s="49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</row>
    <row r="2" spans="1:38" s="14" customFormat="1" ht="32.1" customHeight="1" thickBot="1" x14ac:dyDescent="0.3">
      <c r="A2" s="401" t="s">
        <v>0</v>
      </c>
      <c r="B2" s="459"/>
      <c r="C2" s="460"/>
      <c r="D2" s="460"/>
      <c r="E2" s="461"/>
      <c r="F2" s="401" t="s">
        <v>1</v>
      </c>
      <c r="G2" s="459"/>
      <c r="H2" s="462"/>
      <c r="I2" s="198"/>
      <c r="J2" s="199" t="s">
        <v>59</v>
      </c>
      <c r="K2" s="463"/>
      <c r="L2" s="464"/>
      <c r="M2" s="9"/>
    </row>
    <row r="3" spans="1:38" s="14" customFormat="1" ht="24" customHeight="1" x14ac:dyDescent="0.25">
      <c r="A3" s="47" t="s">
        <v>167</v>
      </c>
      <c r="B3" s="11"/>
      <c r="C3" s="44"/>
      <c r="D3" s="29"/>
      <c r="F3" s="10"/>
      <c r="G3" s="46"/>
      <c r="K3" s="21"/>
      <c r="L3" s="21"/>
      <c r="M3" s="9"/>
    </row>
    <row r="4" spans="1:38" s="7" customFormat="1" ht="17.100000000000001" customHeight="1" x14ac:dyDescent="0.3">
      <c r="A4" s="42"/>
      <c r="B4" s="42"/>
      <c r="C4" s="42"/>
      <c r="G4" s="45"/>
      <c r="H4" s="45"/>
      <c r="I4" s="45"/>
      <c r="J4" s="45"/>
      <c r="K4" s="45"/>
      <c r="L4" s="45"/>
      <c r="M4" s="44"/>
    </row>
    <row r="5" spans="1:38" s="7" customFormat="1" ht="24" customHeight="1" x14ac:dyDescent="0.3">
      <c r="A5" s="465" t="s">
        <v>12</v>
      </c>
      <c r="B5" s="466"/>
      <c r="C5" s="10"/>
      <c r="D5" s="36"/>
      <c r="E5" s="36"/>
      <c r="G5" s="45"/>
      <c r="H5" s="45"/>
      <c r="I5" s="45"/>
      <c r="J5" s="45"/>
      <c r="K5" s="45"/>
      <c r="L5" s="45"/>
      <c r="M5" s="44"/>
    </row>
    <row r="6" spans="1:38" s="7" customFormat="1" ht="17.100000000000001" customHeight="1" x14ac:dyDescent="0.3">
      <c r="A6" s="10"/>
      <c r="B6" s="10"/>
      <c r="C6" s="10"/>
      <c r="D6" s="38"/>
      <c r="E6" s="38"/>
      <c r="F6" s="40"/>
      <c r="G6" s="10"/>
      <c r="H6" s="10"/>
      <c r="I6" s="10"/>
      <c r="J6" s="38"/>
      <c r="K6" s="38"/>
      <c r="L6" s="40"/>
      <c r="M6" s="10"/>
    </row>
    <row r="7" spans="1:38" s="7" customFormat="1" ht="30" customHeight="1" x14ac:dyDescent="0.3">
      <c r="A7" s="43"/>
      <c r="B7" s="43" t="s">
        <v>27</v>
      </c>
      <c r="C7" s="467" t="s">
        <v>2</v>
      </c>
      <c r="D7" s="468"/>
      <c r="E7" s="200"/>
      <c r="F7" s="42" t="s">
        <v>3</v>
      </c>
      <c r="G7" s="2"/>
      <c r="I7" s="402" t="s">
        <v>4</v>
      </c>
      <c r="J7" s="2"/>
      <c r="K7" s="42" t="s">
        <v>5</v>
      </c>
      <c r="L7" s="92">
        <f>(G7*J7)/60</f>
        <v>0</v>
      </c>
      <c r="M7" s="41"/>
    </row>
    <row r="8" spans="1:38" s="10" customFormat="1" ht="25.05" customHeight="1" x14ac:dyDescent="0.25">
      <c r="D8" s="38"/>
      <c r="E8" s="38"/>
      <c r="F8" s="40"/>
      <c r="K8" s="39" t="s">
        <v>6</v>
      </c>
      <c r="L8" s="197">
        <f>IF(L7=0,0,$E$7/$L$7)</f>
        <v>0</v>
      </c>
    </row>
    <row r="9" spans="1:38" s="10" customFormat="1" ht="25.05" customHeight="1" x14ac:dyDescent="0.25">
      <c r="C9" s="469" t="s">
        <v>7</v>
      </c>
      <c r="D9" s="470"/>
      <c r="E9" s="6"/>
      <c r="F9" s="1">
        <f>IF(E9="Yes",60%,49%)</f>
        <v>0.49</v>
      </c>
      <c r="G9" s="37"/>
      <c r="H9" s="37"/>
      <c r="I9" s="37"/>
    </row>
    <row r="10" spans="1:38" s="10" customFormat="1" hidden="1" x14ac:dyDescent="0.25">
      <c r="D10" s="38"/>
      <c r="E10" s="38"/>
      <c r="F10" s="40"/>
      <c r="K10" s="39"/>
      <c r="L10" s="39"/>
    </row>
    <row r="11" spans="1:38" s="10" customFormat="1" ht="30" customHeight="1" x14ac:dyDescent="0.25">
      <c r="A11" s="37"/>
      <c r="B11" s="37"/>
      <c r="C11" s="469" t="s">
        <v>240</v>
      </c>
      <c r="D11" s="470"/>
      <c r="E11" s="6"/>
      <c r="F11" s="37"/>
      <c r="G11" s="37"/>
      <c r="H11" s="396"/>
      <c r="I11" s="37"/>
      <c r="J11" s="465" t="s">
        <v>10</v>
      </c>
      <c r="K11" s="466"/>
      <c r="L11" s="98" t="str">
        <f>IF(OR(A70=20,N(E$7)=0,L$8=0),"",IF(AND(AND(A$70&gt;9,A$70&lt;18),L8&gt;=800000),"Yes",IF(AND(OR(A$70=1,A$70=2,A$70=8,A$70=9),L8&gt;=750000),"Yes",IF(AND(AND(A$70&gt;4,A$70&lt;8),L8&gt;=400000),"Yes","No"))))</f>
        <v/>
      </c>
      <c r="M11" s="283" t="str">
        <f>IFERROR(IF(L11="Yes","N/A to animated productions",""),"")</f>
        <v/>
      </c>
    </row>
    <row r="12" spans="1:38" s="404" customFormat="1" ht="30" customHeight="1" x14ac:dyDescent="0.25">
      <c r="B12" s="405"/>
      <c r="C12" s="263"/>
      <c r="D12" s="263"/>
      <c r="E12" s="263"/>
      <c r="F12" s="263"/>
      <c r="G12" s="263"/>
      <c r="H12" s="263"/>
      <c r="I12" s="263"/>
      <c r="J12" s="465" t="s">
        <v>11</v>
      </c>
      <c r="K12" s="466"/>
      <c r="L12" s="3" t="str">
        <f>IF(N(E$7)=0,"",IF(E$7&gt;500000,"Yes","No"))</f>
        <v/>
      </c>
      <c r="M12" s="283" t="str">
        <f>IFERROR(IF(L12="Yes","N/A to live-to-air productions",""),"")</f>
        <v/>
      </c>
    </row>
    <row r="13" spans="1:38" s="404" customFormat="1" ht="30" customHeight="1" x14ac:dyDescent="0.25">
      <c r="B13" s="455" t="s">
        <v>194</v>
      </c>
      <c r="C13" s="471"/>
      <c r="D13" s="472"/>
      <c r="E13" s="200"/>
      <c r="F13" s="406"/>
      <c r="G13" s="263"/>
      <c r="H13" s="263"/>
      <c r="I13" s="263"/>
      <c r="J13" s="263"/>
      <c r="K13" s="263"/>
      <c r="L13" s="263"/>
      <c r="M13" s="263"/>
      <c r="V13" s="455" t="s">
        <v>138</v>
      </c>
      <c r="W13" s="456"/>
      <c r="X13" s="2" t="s">
        <v>9</v>
      </c>
    </row>
    <row r="14" spans="1:38" s="404" customFormat="1" ht="30" customHeight="1" x14ac:dyDescent="0.25">
      <c r="B14" s="455" t="s">
        <v>227</v>
      </c>
      <c r="C14" s="471"/>
      <c r="D14" s="472"/>
      <c r="E14" s="200"/>
      <c r="F14" s="406"/>
      <c r="H14" s="407"/>
      <c r="I14" s="48"/>
      <c r="J14" s="406"/>
      <c r="K14" s="406"/>
      <c r="L14" s="406"/>
      <c r="M14" s="406"/>
      <c r="V14" s="455" t="s">
        <v>238</v>
      </c>
      <c r="W14" s="456"/>
      <c r="X14" s="408">
        <f>MAX(0,C33-C26)</f>
        <v>0</v>
      </c>
    </row>
    <row r="15" spans="1:38" s="281" customFormat="1" ht="30" customHeight="1" x14ac:dyDescent="0.25">
      <c r="A15" s="42"/>
      <c r="B15" s="473" t="s">
        <v>213</v>
      </c>
      <c r="C15" s="471"/>
      <c r="D15" s="472"/>
      <c r="E15" s="289" t="str">
        <f>IF($E$7&gt;0,ROUND(1%*$E$7,0),"")</f>
        <v/>
      </c>
      <c r="F15" s="263"/>
      <c r="H15" s="339"/>
      <c r="L15" s="283"/>
      <c r="M15" s="284"/>
      <c r="N15" s="284"/>
      <c r="O15" s="284"/>
      <c r="P15" s="285"/>
      <c r="Q15" s="285"/>
      <c r="R15" s="286"/>
      <c r="S15" s="287"/>
      <c r="T15" s="286"/>
      <c r="U15" s="286"/>
      <c r="V15" s="42"/>
      <c r="W15" s="42"/>
      <c r="X15" s="288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</row>
    <row r="16" spans="1:38" s="281" customFormat="1" ht="30" customHeight="1" x14ac:dyDescent="0.25">
      <c r="A16" s="42"/>
      <c r="B16" s="473" t="s">
        <v>220</v>
      </c>
      <c r="C16" s="471"/>
      <c r="D16" s="472"/>
      <c r="E16" s="289" t="str">
        <f>IF(AND(E$15=""),"",ROUND(E$13+E$14-E$15,0))</f>
        <v/>
      </c>
      <c r="F16" s="263"/>
      <c r="H16" s="282"/>
      <c r="L16" s="283"/>
      <c r="M16" s="284"/>
      <c r="N16" s="284"/>
      <c r="O16" s="284"/>
      <c r="P16" s="285"/>
      <c r="Q16" s="285"/>
      <c r="R16" s="286"/>
      <c r="S16" s="287"/>
      <c r="T16" s="286"/>
      <c r="U16" s="286"/>
      <c r="V16" s="42"/>
      <c r="W16" s="42"/>
      <c r="X16" s="288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</row>
    <row r="17" spans="1:26" s="48" customFormat="1" ht="30" customHeight="1" x14ac:dyDescent="0.25">
      <c r="B17" s="474" t="s">
        <v>139</v>
      </c>
      <c r="C17" s="471"/>
      <c r="D17" s="472"/>
      <c r="E17" s="200"/>
      <c r="F17" s="406"/>
      <c r="J17" s="409"/>
      <c r="K17" s="410"/>
      <c r="L17" s="409"/>
      <c r="M17" s="409"/>
    </row>
    <row r="18" spans="1:26" s="404" customFormat="1" ht="14.4" hidden="1" x14ac:dyDescent="0.25">
      <c r="A18" s="411"/>
      <c r="B18" s="412"/>
      <c r="C18" s="412"/>
      <c r="D18" s="412"/>
      <c r="F18" s="413"/>
      <c r="G18" s="413"/>
      <c r="H18" s="413"/>
      <c r="I18" s="48"/>
      <c r="J18" s="406"/>
      <c r="K18" s="406"/>
      <c r="L18" s="406"/>
    </row>
    <row r="19" spans="1:26" s="404" customFormat="1" ht="14.4" x14ac:dyDescent="0.25">
      <c r="A19" s="411"/>
      <c r="B19" s="412"/>
      <c r="C19" s="412"/>
      <c r="D19" s="412"/>
      <c r="F19" s="413"/>
      <c r="G19" s="413"/>
      <c r="H19" s="413"/>
      <c r="I19" s="48"/>
      <c r="J19" s="406"/>
      <c r="K19" s="406"/>
      <c r="L19" s="406"/>
    </row>
    <row r="20" spans="1:26" s="404" customFormat="1" ht="14.4" x14ac:dyDescent="0.25">
      <c r="A20" s="411"/>
      <c r="B20" s="412"/>
      <c r="C20" s="412"/>
      <c r="D20" s="412"/>
      <c r="F20" s="413"/>
      <c r="G20" s="413"/>
      <c r="H20" s="413"/>
      <c r="I20" s="48"/>
      <c r="J20" s="406"/>
      <c r="K20" s="406"/>
      <c r="L20" s="406"/>
    </row>
    <row r="21" spans="1:26" s="404" customFormat="1" ht="17.100000000000001" customHeight="1" x14ac:dyDescent="0.25">
      <c r="A21" s="260" t="s">
        <v>195</v>
      </c>
      <c r="B21" s="412"/>
      <c r="C21" s="412"/>
      <c r="D21" s="412"/>
      <c r="F21" s="413"/>
      <c r="G21" s="413"/>
      <c r="H21" s="413"/>
      <c r="I21" s="48"/>
      <c r="J21" s="406"/>
      <c r="K21" s="406"/>
      <c r="L21" s="406"/>
    </row>
    <row r="22" spans="1:26" s="10" customFormat="1" ht="17.100000000000001" customHeight="1" x14ac:dyDescent="0.25">
      <c r="A22" s="260" t="s">
        <v>196</v>
      </c>
      <c r="B22" s="22"/>
      <c r="C22" s="27"/>
      <c r="E22" s="9"/>
      <c r="F22" s="9"/>
      <c r="G22" s="26"/>
      <c r="J22" s="9"/>
    </row>
    <row r="23" spans="1:26" s="10" customFormat="1" ht="17.100000000000001" customHeight="1" x14ac:dyDescent="0.25">
      <c r="A23" s="290" t="s">
        <v>197</v>
      </c>
      <c r="B23" s="22"/>
      <c r="C23" s="27"/>
      <c r="E23" s="9"/>
      <c r="F23" s="9"/>
      <c r="G23" s="26"/>
      <c r="J23" s="9"/>
    </row>
    <row r="24" spans="1:26" s="10" customFormat="1" ht="69.45" customHeight="1" x14ac:dyDescent="0.25">
      <c r="A24" s="489" t="s">
        <v>166</v>
      </c>
      <c r="B24" s="490"/>
      <c r="C24" s="414" t="s">
        <v>221</v>
      </c>
      <c r="D24" s="415" t="s">
        <v>159</v>
      </c>
      <c r="E24" s="74" t="s">
        <v>214</v>
      </c>
      <c r="F24" s="74" t="s">
        <v>215</v>
      </c>
      <c r="G24" s="74" t="s">
        <v>157</v>
      </c>
      <c r="H24" s="56" t="s">
        <v>13</v>
      </c>
      <c r="I24" s="56" t="s">
        <v>14</v>
      </c>
      <c r="J24" s="56" t="s">
        <v>15</v>
      </c>
      <c r="K24" s="301" t="s">
        <v>198</v>
      </c>
      <c r="L24" s="301" t="s">
        <v>199</v>
      </c>
      <c r="M24" s="302" t="s">
        <v>16</v>
      </c>
      <c r="V24" s="191" t="s">
        <v>76</v>
      </c>
      <c r="W24" s="311" t="s">
        <v>216</v>
      </c>
    </row>
    <row r="25" spans="1:26" s="10" customFormat="1" ht="15.6" x14ac:dyDescent="0.25">
      <c r="A25" s="304"/>
      <c r="B25" s="305"/>
      <c r="C25" s="305"/>
      <c r="D25" s="416"/>
      <c r="E25" s="307"/>
      <c r="F25" s="306"/>
      <c r="G25" s="306"/>
      <c r="H25" s="307"/>
      <c r="I25" s="307"/>
      <c r="J25" s="307"/>
      <c r="K25" s="485" t="s">
        <v>200</v>
      </c>
      <c r="L25" s="486"/>
      <c r="M25" s="274"/>
      <c r="V25" s="303"/>
      <c r="W25" s="131"/>
      <c r="X25" s="129"/>
      <c r="Y25" s="269"/>
      <c r="Z25" s="129"/>
    </row>
    <row r="26" spans="1:26" s="10" customFormat="1" ht="18" customHeight="1" x14ac:dyDescent="0.25">
      <c r="A26" s="348"/>
      <c r="B26" s="349" t="s">
        <v>140</v>
      </c>
      <c r="C26" s="258">
        <f>$E$17</f>
        <v>0</v>
      </c>
      <c r="D26" s="308" t="str">
        <f>IF(SUM($X$27:$X$32)&gt;0,$Z$28,"")</f>
        <v/>
      </c>
      <c r="E26" s="417"/>
      <c r="F26" s="418"/>
      <c r="G26" s="309"/>
      <c r="H26" s="309"/>
      <c r="I26" s="309"/>
      <c r="J26" s="309"/>
      <c r="K26" s="487"/>
      <c r="L26" s="488"/>
      <c r="M26" s="310"/>
      <c r="V26" s="75"/>
      <c r="X26" s="129" t="s">
        <v>217</v>
      </c>
      <c r="Y26" s="312"/>
      <c r="Z26" s="312"/>
    </row>
    <row r="27" spans="1:26" s="10" customFormat="1" ht="18" customHeight="1" x14ac:dyDescent="0.25">
      <c r="A27" s="15" t="s">
        <v>79</v>
      </c>
      <c r="B27" s="4"/>
      <c r="C27" s="51"/>
      <c r="D27" s="313"/>
      <c r="E27" s="313"/>
      <c r="F27" s="50"/>
      <c r="G27" s="50"/>
      <c r="H27" s="255"/>
      <c r="I27" s="219">
        <f t="shared" ref="I27:I32" si="0">DATE(YEAR(H27),(MONTH(H27)+J27),DAY(H27))</f>
        <v>0</v>
      </c>
      <c r="J27" s="33"/>
      <c r="K27" s="315"/>
      <c r="L27" s="316"/>
      <c r="M27" s="33"/>
      <c r="V27" s="32"/>
      <c r="X27" s="267">
        <f t="shared" ref="X27:X32" si="1">IF(OR(AND(E27&lt;&gt;"",D27&lt;&gt;"",F27&lt;&gt;"",G27&lt;&gt;""),AND(E27&lt;&gt;"",D27&lt;&gt;"",F27&lt;&gt;""),AND(E27&lt;&gt;"",F27&lt;&gt;"",G27&lt;&gt;""),AND(D27&lt;&gt;"",F27&lt;&gt;"",G27&lt;&gt;""),
AND(E27&lt;&gt;"",D27&lt;&gt;""),AND(D27&lt;&gt;"",F27&lt;&gt;""),AND(D27&lt;&gt;"",G27&lt;&gt;""),AND(E27&lt;&gt;"",F27&lt;&gt;""),AND(E27&lt;&gt;"",G27&lt;&gt;""),AND(F27&lt;&gt;"",G27&lt;&gt;""),),1,0)</f>
        <v>0</v>
      </c>
      <c r="Y27" s="268"/>
      <c r="Z27" s="269" t="s">
        <v>218</v>
      </c>
    </row>
    <row r="28" spans="1:26" s="10" customFormat="1" ht="18" customHeight="1" x14ac:dyDescent="0.25">
      <c r="A28" s="15" t="s">
        <v>80</v>
      </c>
      <c r="B28" s="4"/>
      <c r="C28" s="51"/>
      <c r="D28" s="313"/>
      <c r="E28" s="313"/>
      <c r="F28" s="313"/>
      <c r="G28" s="314"/>
      <c r="H28" s="255"/>
      <c r="I28" s="219">
        <f t="shared" si="0"/>
        <v>0</v>
      </c>
      <c r="J28" s="33"/>
      <c r="K28" s="315"/>
      <c r="L28" s="316"/>
      <c r="M28" s="33"/>
      <c r="V28" s="32"/>
      <c r="X28" s="267">
        <f t="shared" si="1"/>
        <v>0</v>
      </c>
      <c r="Y28" s="268"/>
      <c r="Z28" s="269" t="s">
        <v>219</v>
      </c>
    </row>
    <row r="29" spans="1:26" s="10" customFormat="1" ht="18" customHeight="1" x14ac:dyDescent="0.25">
      <c r="A29" s="15" t="s">
        <v>81</v>
      </c>
      <c r="B29" s="4"/>
      <c r="C29" s="51"/>
      <c r="D29" s="313"/>
      <c r="E29" s="313"/>
      <c r="F29" s="313"/>
      <c r="G29" s="314"/>
      <c r="H29" s="255"/>
      <c r="I29" s="219">
        <f t="shared" si="0"/>
        <v>0</v>
      </c>
      <c r="J29" s="33"/>
      <c r="K29" s="315"/>
      <c r="L29" s="316"/>
      <c r="M29" s="33"/>
      <c r="V29" s="32"/>
      <c r="X29" s="267">
        <f t="shared" si="1"/>
        <v>0</v>
      </c>
      <c r="Y29" s="268"/>
      <c r="Z29" s="269"/>
    </row>
    <row r="30" spans="1:26" s="10" customFormat="1" ht="18" customHeight="1" x14ac:dyDescent="0.25">
      <c r="A30" s="15" t="s">
        <v>82</v>
      </c>
      <c r="B30" s="4"/>
      <c r="C30" s="51"/>
      <c r="D30" s="313"/>
      <c r="E30" s="313"/>
      <c r="F30" s="313"/>
      <c r="G30" s="314"/>
      <c r="H30" s="256"/>
      <c r="I30" s="219">
        <f t="shared" si="0"/>
        <v>0</v>
      </c>
      <c r="J30" s="33"/>
      <c r="K30" s="315"/>
      <c r="L30" s="316"/>
      <c r="M30" s="33"/>
      <c r="V30" s="32"/>
      <c r="X30" s="267">
        <f t="shared" si="1"/>
        <v>0</v>
      </c>
      <c r="Y30" s="268"/>
      <c r="Z30" s="269"/>
    </row>
    <row r="31" spans="1:26" s="10" customFormat="1" ht="18" customHeight="1" x14ac:dyDescent="0.25">
      <c r="A31" s="15" t="s">
        <v>83</v>
      </c>
      <c r="B31" s="4"/>
      <c r="C31" s="51"/>
      <c r="D31" s="313"/>
      <c r="E31" s="313"/>
      <c r="F31" s="313"/>
      <c r="G31" s="314"/>
      <c r="H31" s="256"/>
      <c r="I31" s="219">
        <f t="shared" si="0"/>
        <v>0</v>
      </c>
      <c r="J31" s="33"/>
      <c r="K31" s="315"/>
      <c r="L31" s="316"/>
      <c r="M31" s="220"/>
      <c r="V31" s="32"/>
      <c r="X31" s="267">
        <f t="shared" si="1"/>
        <v>0</v>
      </c>
      <c r="Y31" s="268"/>
      <c r="Z31" s="269"/>
    </row>
    <row r="32" spans="1:26" s="10" customFormat="1" ht="18" customHeight="1" thickBot="1" x14ac:dyDescent="0.3">
      <c r="A32" s="13" t="s">
        <v>84</v>
      </c>
      <c r="B32" s="4"/>
      <c r="C32" s="259"/>
      <c r="D32" s="313"/>
      <c r="E32" s="313"/>
      <c r="F32" s="313"/>
      <c r="G32" s="314"/>
      <c r="H32" s="256"/>
      <c r="I32" s="219">
        <f t="shared" si="0"/>
        <v>0</v>
      </c>
      <c r="J32" s="33"/>
      <c r="K32" s="315"/>
      <c r="L32" s="316"/>
      <c r="M32" s="220"/>
      <c r="V32" s="32"/>
      <c r="X32" s="267">
        <f t="shared" si="1"/>
        <v>0</v>
      </c>
      <c r="Y32" s="268"/>
      <c r="Z32" s="269"/>
    </row>
    <row r="33" spans="1:25" s="10" customFormat="1" ht="24.9" customHeight="1" thickBot="1" x14ac:dyDescent="0.3">
      <c r="A33" s="31"/>
      <c r="B33" s="30" t="s">
        <v>85</v>
      </c>
      <c r="C33" s="257">
        <f>SUM(C26:C32)</f>
        <v>0</v>
      </c>
      <c r="D33" s="257">
        <f>SUM(D27:D32)</f>
        <v>0</v>
      </c>
      <c r="E33" s="257">
        <f>SUM(E27:E32)</f>
        <v>0</v>
      </c>
      <c r="F33" s="257">
        <f>SUM(F27:F32)</f>
        <v>0</v>
      </c>
      <c r="G33" s="257">
        <f>SUM(G27:G32)</f>
        <v>0</v>
      </c>
      <c r="K33" s="20"/>
      <c r="L33" s="20"/>
    </row>
    <row r="34" spans="1:25" s="29" customFormat="1" ht="15" x14ac:dyDescent="0.25">
      <c r="A34" s="263"/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</row>
    <row r="35" spans="1:25" s="263" customFormat="1" ht="15" hidden="1" x14ac:dyDescent="0.25">
      <c r="A35" s="28"/>
      <c r="B35" s="22"/>
      <c r="C35" s="27"/>
      <c r="D35" s="10"/>
      <c r="E35" s="9"/>
      <c r="F35" s="9"/>
      <c r="G35" s="26"/>
      <c r="H35" s="10"/>
      <c r="I35" s="10"/>
      <c r="J35" s="9"/>
      <c r="K35" s="10"/>
      <c r="L35" s="10"/>
    </row>
    <row r="36" spans="1:25" s="10" customFormat="1" ht="24" customHeight="1" x14ac:dyDescent="0.25">
      <c r="A36" s="475" t="s">
        <v>23</v>
      </c>
      <c r="B36" s="477"/>
      <c r="C36" s="478"/>
      <c r="D36" s="478"/>
      <c r="E36" s="478"/>
      <c r="F36" s="478"/>
      <c r="G36" s="478"/>
      <c r="H36" s="478"/>
      <c r="I36" s="478"/>
      <c r="J36" s="478"/>
      <c r="K36" s="478"/>
      <c r="L36" s="479"/>
      <c r="M36" s="480"/>
      <c r="N36" s="9"/>
      <c r="O36" s="9"/>
      <c r="P36" s="9"/>
      <c r="Q36" s="9"/>
      <c r="R36" s="9"/>
    </row>
    <row r="37" spans="1:25" s="10" customFormat="1" ht="24" customHeight="1" x14ac:dyDescent="0.25">
      <c r="A37" s="476"/>
      <c r="B37" s="481"/>
      <c r="C37" s="482"/>
      <c r="D37" s="482"/>
      <c r="E37" s="482"/>
      <c r="F37" s="482"/>
      <c r="G37" s="482"/>
      <c r="H37" s="482"/>
      <c r="I37" s="482"/>
      <c r="J37" s="482"/>
      <c r="K37" s="482"/>
      <c r="L37" s="483"/>
      <c r="M37" s="484"/>
      <c r="N37" s="419"/>
      <c r="O37" s="14"/>
      <c r="P37" s="14"/>
      <c r="Q37" s="9"/>
      <c r="R37" s="9"/>
    </row>
    <row r="38" spans="1:25" s="10" customFormat="1" ht="18.75" customHeight="1" x14ac:dyDescent="0.25">
      <c r="A38" s="2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9"/>
      <c r="O38" s="9"/>
      <c r="P38" s="9"/>
      <c r="Q38" s="9"/>
      <c r="R38" s="9"/>
    </row>
    <row r="39" spans="1:25" s="14" customFormat="1" ht="23.1" customHeight="1" x14ac:dyDescent="0.25">
      <c r="A39" s="318" t="s">
        <v>206</v>
      </c>
      <c r="B39" s="318"/>
      <c r="C39" s="318"/>
      <c r="D39" s="318"/>
      <c r="E39" s="318"/>
      <c r="F39" s="318"/>
      <c r="G39" s="318"/>
      <c r="H39" s="319"/>
      <c r="I39" s="319"/>
      <c r="J39" s="319"/>
      <c r="K39" s="319"/>
      <c r="L39" s="319"/>
      <c r="M39" s="320"/>
      <c r="N39" s="420"/>
      <c r="O39" s="9"/>
      <c r="P39" s="9"/>
      <c r="Q39" s="9"/>
      <c r="R39" s="9"/>
    </row>
    <row r="40" spans="1:25" s="10" customFormat="1" ht="81" customHeight="1" x14ac:dyDescent="0.25">
      <c r="A40" s="489" t="s">
        <v>143</v>
      </c>
      <c r="B40" s="490"/>
      <c r="C40" s="317" t="str">
        <f>IF($D$33&gt;0,"Maximum Licence Fee Top-Up",
IF(AND($D$33=0,$E$33&gt;0),"Maximum Contribution","Maximum Licence Fee Top-Up/Contribution"))</f>
        <v>Maximum Licence Fee Top-Up/Contribution</v>
      </c>
      <c r="D40" s="202" t="s">
        <v>144</v>
      </c>
      <c r="E40" s="203" t="s">
        <v>24</v>
      </c>
      <c r="F40" s="204" t="s">
        <v>25</v>
      </c>
      <c r="G40" s="74" t="s">
        <v>202</v>
      </c>
      <c r="H40" s="74" t="s">
        <v>203</v>
      </c>
      <c r="I40" s="74" t="s">
        <v>204</v>
      </c>
      <c r="J40" s="325" t="s">
        <v>224</v>
      </c>
      <c r="K40" s="206" t="s">
        <v>205</v>
      </c>
      <c r="L40" s="205" t="s">
        <v>225</v>
      </c>
      <c r="M40" s="205" t="s">
        <v>226</v>
      </c>
      <c r="V40" s="291" t="s">
        <v>91</v>
      </c>
      <c r="W40" s="291" t="s">
        <v>91</v>
      </c>
      <c r="X40" s="291" t="s">
        <v>92</v>
      </c>
      <c r="Y40" s="291" t="s">
        <v>93</v>
      </c>
    </row>
    <row r="41" spans="1:25" s="10" customFormat="1" x14ac:dyDescent="0.25">
      <c r="A41" s="105"/>
      <c r="B41" s="106" t="s">
        <v>78</v>
      </c>
      <c r="C41" s="209">
        <f>IF($E$48-(E7*0.4)&lt;100000,E41,IF((E7*0.4)&lt;MIN(E17,E95:E99),ROUND(E7*0.4,0),MIN(E17,E95:E99)))</f>
        <v>0</v>
      </c>
      <c r="D41" s="209">
        <f t="shared" ref="D41:D48" si="2">E41-C41</f>
        <v>0</v>
      </c>
      <c r="E41" s="210">
        <f>IF(MAX(E$95:E$99)&lt;E17,MAX(E$95:E$99),(E17))</f>
        <v>0</v>
      </c>
      <c r="F41" s="254" t="str">
        <f t="shared" ref="F41:F47" si="3">IF(E$7=0,"",E41/E$7)</f>
        <v/>
      </c>
      <c r="G41" s="108"/>
      <c r="H41" s="192"/>
      <c r="I41" s="192"/>
      <c r="J41" s="192"/>
      <c r="K41" s="192"/>
      <c r="L41" s="109"/>
      <c r="M41" s="110"/>
      <c r="V41" s="292"/>
      <c r="W41" s="292"/>
      <c r="X41" s="292"/>
      <c r="Y41" s="293"/>
    </row>
    <row r="42" spans="1:25" s="10" customFormat="1" ht="14.25" customHeight="1" x14ac:dyDescent="0.25">
      <c r="A42" s="207" t="s">
        <v>17</v>
      </c>
      <c r="B42" s="208">
        <f>$B$27</f>
        <v>0</v>
      </c>
      <c r="C42" s="209">
        <f t="shared" ref="C42:C47" si="4">IF(($C$48-$C$41)&gt;0,ROUND(E42/($E$48-$E$41)*($C$48-$C$41),0),0)</f>
        <v>0</v>
      </c>
      <c r="D42" s="209">
        <f t="shared" si="2"/>
        <v>0</v>
      </c>
      <c r="E42" s="210">
        <f t="shared" ref="E42:E47" si="5">IF($E$48-$E$41=0,0,ROUND(C27/($C$33-$C$26)*($E$48-$E$41),0))</f>
        <v>0</v>
      </c>
      <c r="F42" s="254" t="str">
        <f t="shared" si="3"/>
        <v/>
      </c>
      <c r="G42" s="209">
        <f>IF($E$7=0,0,
IF(AND($D27&lt;&gt;"",$X27=0,$H56&lt;&gt;"N/A"),$H56,0))</f>
        <v>0</v>
      </c>
      <c r="H42" s="210">
        <f>IF(OR($E$7=0,$B57="Missing Information"),0,
IF(AND($E27&lt;&gt;"",$X27=0,$H56&lt;&gt;"N/A"),$H56,
IF(AND($E27&lt;&gt;"",$X27=0,$H56="N/A"),$E27,0)))</f>
        <v>0</v>
      </c>
      <c r="I42" s="211" t="s">
        <v>26</v>
      </c>
      <c r="J42" s="211" t="s">
        <v>26</v>
      </c>
      <c r="K42" s="323">
        <f t="shared" ref="K42:K47" si="6">N(G42)+N(H42)+N(I42)+N(J42)</f>
        <v>0</v>
      </c>
      <c r="L42" s="212" t="str">
        <f t="shared" ref="L42:L47" si="7">IF($E$7=0,"",(G42+N(H42)+N(I42)+N(J42))/$E$7)</f>
        <v/>
      </c>
      <c r="M42" s="209">
        <f t="shared" ref="M42:M47" si="8">N(D27)+N(E27)+N(F27)+N(G27)-N(G42)-N(H42)-N(I42)-N(J42)</f>
        <v>0</v>
      </c>
      <c r="V42" s="294">
        <f>IF(J27&lt;72,J27,72)</f>
        <v>0</v>
      </c>
      <c r="W42" s="294">
        <f>IF(J27&lt;72,J27,72)</f>
        <v>0</v>
      </c>
      <c r="X42" s="294">
        <f t="shared" ref="X42:X47" si="9">V27</f>
        <v>0</v>
      </c>
      <c r="Y42" s="295" t="s">
        <v>26</v>
      </c>
    </row>
    <row r="43" spans="1:25" s="10" customFormat="1" ht="14.25" customHeight="1" x14ac:dyDescent="0.25">
      <c r="A43" s="207" t="s">
        <v>18</v>
      </c>
      <c r="B43" s="208">
        <f>$B$28</f>
        <v>0</v>
      </c>
      <c r="C43" s="209">
        <f t="shared" si="4"/>
        <v>0</v>
      </c>
      <c r="D43" s="209">
        <f t="shared" si="2"/>
        <v>0</v>
      </c>
      <c r="E43" s="210">
        <f t="shared" si="5"/>
        <v>0</v>
      </c>
      <c r="F43" s="254" t="str">
        <f t="shared" si="3"/>
        <v/>
      </c>
      <c r="G43" s="209">
        <f>IF($E$7=0,0,
IF(AND($D28&lt;&gt;"",$X28=0,$H58&lt;&gt;"N/A"),$H58,0))</f>
        <v>0</v>
      </c>
      <c r="H43" s="210">
        <f>IF(OR($E$7=0,$B59="Missing Information"),0,
IF(AND($E28&lt;&gt;"",$X28=0,$H58&lt;&gt;"N/A"),$H58,
IF(AND($E28&lt;&gt;"",$X28=0,$H58="N/A"),$E28,0)))</f>
        <v>0</v>
      </c>
      <c r="I43" s="209" t="str">
        <f>IF($F$33=0,"",ROUND((F28*I$48/$F$33),0))</f>
        <v/>
      </c>
      <c r="J43" s="209" t="str">
        <f>IF($G$33=0,"",ROUND((G28*J$48/$G$33),0))</f>
        <v/>
      </c>
      <c r="K43" s="323">
        <f t="shared" si="6"/>
        <v>0</v>
      </c>
      <c r="L43" s="212" t="str">
        <f t="shared" si="7"/>
        <v/>
      </c>
      <c r="M43" s="209">
        <f t="shared" si="8"/>
        <v>0</v>
      </c>
      <c r="V43" s="296">
        <f>IF($J28=0,0,IF($J28&lt;$F58,$J28,$F$58))</f>
        <v>0</v>
      </c>
      <c r="W43" s="296">
        <f>IF(J28=0,0,IF(J28&lt;F58,J28,F58))</f>
        <v>0</v>
      </c>
      <c r="X43" s="294">
        <f t="shared" si="9"/>
        <v>0</v>
      </c>
      <c r="Y43" s="297">
        <f>IF(H28&gt;DATE(YEAR(H27),MONTH(H27)+X42,DAY(H27)),H28,DATE(YEAR(H27),MONTH(H27)+X42,DAY(H27)))</f>
        <v>0</v>
      </c>
    </row>
    <row r="44" spans="1:25" s="10" customFormat="1" ht="14.25" customHeight="1" x14ac:dyDescent="0.25">
      <c r="A44" s="207" t="s">
        <v>19</v>
      </c>
      <c r="B44" s="208">
        <f>B29</f>
        <v>0</v>
      </c>
      <c r="C44" s="209">
        <f t="shared" si="4"/>
        <v>0</v>
      </c>
      <c r="D44" s="209">
        <f t="shared" si="2"/>
        <v>0</v>
      </c>
      <c r="E44" s="210">
        <f t="shared" si="5"/>
        <v>0</v>
      </c>
      <c r="F44" s="254" t="str">
        <f t="shared" si="3"/>
        <v/>
      </c>
      <c r="G44" s="209">
        <f>IF($E$7=0,0,
IF(AND($D29&lt;&gt;"",$X29=0,$H60&lt;&gt;"N/A"),$H60,0))</f>
        <v>0</v>
      </c>
      <c r="H44" s="210">
        <f>IF(OR($E$7=0,$B61="Missing Information"),0,
IF(AND($E29&lt;&gt;"",$X29=0,$H60&lt;&gt;"N/A"),$H60,
IF(AND($E29&lt;&gt;"",$X29=0,$H60="N/A"),$E29,0)))</f>
        <v>0</v>
      </c>
      <c r="I44" s="209" t="str">
        <f>IF($F$33=0,"",ROUND((F29*I$48/$F$33),0))</f>
        <v/>
      </c>
      <c r="J44" s="209" t="str">
        <f>IF($G$33=0,"",ROUND((G29*J$48/$G$33),0))</f>
        <v/>
      </c>
      <c r="K44" s="323">
        <f t="shared" si="6"/>
        <v>0</v>
      </c>
      <c r="L44" s="212" t="str">
        <f t="shared" si="7"/>
        <v/>
      </c>
      <c r="M44" s="209">
        <f t="shared" si="8"/>
        <v>0</v>
      </c>
      <c r="V44" s="296">
        <f>IF($J29=0,0,IF($J29&lt;$F60,$J29,$F$60))</f>
        <v>0</v>
      </c>
      <c r="W44" s="296">
        <f>IF(J29=0,0,IF(J29&lt;F60,J29,F60))</f>
        <v>0</v>
      </c>
      <c r="X44" s="294">
        <f t="shared" si="9"/>
        <v>0</v>
      </c>
      <c r="Y44" s="297">
        <f>IF(H29&gt;DATE(YEAR(H27),MONTH(H27)+X42+X43,DAY(H27)),H29,DATE(YEAR(H27),MONTH(H27)+X42+X43,DAY(H27)))</f>
        <v>0</v>
      </c>
    </row>
    <row r="45" spans="1:25" s="10" customFormat="1" ht="14.25" customHeight="1" x14ac:dyDescent="0.25">
      <c r="A45" s="207" t="s">
        <v>20</v>
      </c>
      <c r="B45" s="208">
        <f>$B$30</f>
        <v>0</v>
      </c>
      <c r="C45" s="209">
        <f t="shared" si="4"/>
        <v>0</v>
      </c>
      <c r="D45" s="209">
        <f t="shared" si="2"/>
        <v>0</v>
      </c>
      <c r="E45" s="210">
        <f t="shared" si="5"/>
        <v>0</v>
      </c>
      <c r="F45" s="254" t="str">
        <f t="shared" si="3"/>
        <v/>
      </c>
      <c r="G45" s="209">
        <f>IF($E$7=0,0,
IF(AND($D30&lt;&gt;"",$X30=0,$H62&lt;&gt;"N/A"),$H62,0))</f>
        <v>0</v>
      </c>
      <c r="H45" s="210">
        <f>IF(OR($E$7=0,$B63="Missing Information"),0,
IF(AND($E30&lt;&gt;"",$X30=0,$H62&lt;&gt;"N/A"),$H62,
IF(AND($E30&lt;&gt;"",$X30=0,$H62="N/A"),$E30,0)))</f>
        <v>0</v>
      </c>
      <c r="I45" s="209" t="str">
        <f>IF($F$33=0,"",ROUND((F30*I$48/$F$33),0))</f>
        <v/>
      </c>
      <c r="J45" s="209" t="str">
        <f>IF($G$33=0,"",ROUND((G30*J$48/$G$33),0))</f>
        <v/>
      </c>
      <c r="K45" s="323">
        <f t="shared" si="6"/>
        <v>0</v>
      </c>
      <c r="L45" s="212" t="str">
        <f t="shared" si="7"/>
        <v/>
      </c>
      <c r="M45" s="209">
        <f t="shared" si="8"/>
        <v>0</v>
      </c>
      <c r="V45" s="296">
        <f>IF($K30=0,0,IF($K30&lt;$F62,$K30,$F$62))</f>
        <v>0</v>
      </c>
      <c r="W45" s="296">
        <f>IF(J30=0,0,IF(J30&lt;F62,J30,F62))</f>
        <v>0</v>
      </c>
      <c r="X45" s="294">
        <f t="shared" si="9"/>
        <v>0</v>
      </c>
      <c r="Y45" s="297">
        <f>IF(H30&gt;DATE(YEAR(H27),MONTH(H27)+X42+X43+X44,DAY(H27)),H30,DATE(YEAR(H27),MONTH(H27)+X42+X43+X44,DAY(H27)))</f>
        <v>0</v>
      </c>
    </row>
    <row r="46" spans="1:25" s="10" customFormat="1" ht="14.25" customHeight="1" x14ac:dyDescent="0.25">
      <c r="A46" s="207" t="s">
        <v>21</v>
      </c>
      <c r="B46" s="208">
        <f>$B$31</f>
        <v>0</v>
      </c>
      <c r="C46" s="209">
        <f t="shared" si="4"/>
        <v>0</v>
      </c>
      <c r="D46" s="209">
        <f t="shared" si="2"/>
        <v>0</v>
      </c>
      <c r="E46" s="210">
        <f t="shared" si="5"/>
        <v>0</v>
      </c>
      <c r="F46" s="254" t="str">
        <f t="shared" si="3"/>
        <v/>
      </c>
      <c r="G46" s="209">
        <f>IF($E$7=0,0,
IF(AND($D31&lt;&gt;"",$X31=0,$H64&lt;&gt;"N/A"),$H64,0))</f>
        <v>0</v>
      </c>
      <c r="H46" s="210">
        <f>IF(OR($E$7=0,$B65="Missing Information"),0,
IF(AND($E31&lt;&gt;"",$X31=0,$H64&lt;&gt;"N/A"),$H64,
IF(AND($E31&lt;&gt;"",$X31=0,$H64="N/A"),$E31,0)))</f>
        <v>0</v>
      </c>
      <c r="I46" s="209" t="str">
        <f>IF($F$33=0,"",ROUND((F31*I$48/$F$33),0))</f>
        <v/>
      </c>
      <c r="J46" s="209" t="str">
        <f>IF($G$33=0,"",ROUND((G31*J$48/$G$33),0))</f>
        <v/>
      </c>
      <c r="K46" s="323">
        <f t="shared" si="6"/>
        <v>0</v>
      </c>
      <c r="L46" s="212" t="str">
        <f t="shared" si="7"/>
        <v/>
      </c>
      <c r="M46" s="209">
        <f t="shared" si="8"/>
        <v>0</v>
      </c>
      <c r="V46" s="296">
        <f>IF($K31=0,0,IF($K31&lt;$F64,$K31,$F$64))</f>
        <v>0</v>
      </c>
      <c r="W46" s="296">
        <f>IF(J31=0,0,IF(J31&lt;F64,J31,F64))</f>
        <v>0</v>
      </c>
      <c r="X46" s="294">
        <f t="shared" si="9"/>
        <v>0</v>
      </c>
      <c r="Y46" s="297">
        <f>IF(H31&gt;DATE(YEAR(H27),MONTH(H27)+X42+X43+X44+X45,DAY(H27)),H31,DATE(YEAR(H27),MONTH(H27)+X42+X43+X44+X45,DAY(H27)))</f>
        <v>0</v>
      </c>
    </row>
    <row r="47" spans="1:25" s="10" customFormat="1" ht="13.8" customHeight="1" thickBot="1" x14ac:dyDescent="0.3">
      <c r="A47" s="56" t="s">
        <v>22</v>
      </c>
      <c r="B47" s="213">
        <f>$B$32</f>
        <v>0</v>
      </c>
      <c r="C47" s="214">
        <f t="shared" si="4"/>
        <v>0</v>
      </c>
      <c r="D47" s="214">
        <f t="shared" si="2"/>
        <v>0</v>
      </c>
      <c r="E47" s="215">
        <f t="shared" si="5"/>
        <v>0</v>
      </c>
      <c r="F47" s="254" t="str">
        <f t="shared" si="3"/>
        <v/>
      </c>
      <c r="G47" s="209">
        <f>IF($E$7=0,0,
IF(AND($D32&lt;&gt;"",$X32=0,$H66&lt;&gt;"N/A"),$H66,0))</f>
        <v>0</v>
      </c>
      <c r="H47" s="210">
        <f>IF(OR($E$7=0,$B67="Missing Information"),0,
IF(AND($E32&lt;&gt;"",$X32=0,$H66&lt;&gt;"N/A"),$H66,
IF(AND($E32&lt;&gt;"",$X32=0,$H66="N/A"),$E32,0)))</f>
        <v>0</v>
      </c>
      <c r="I47" s="209" t="str">
        <f>IF($F$33=0,"",ROUND((F32*I$48/$F$33),0))</f>
        <v/>
      </c>
      <c r="J47" s="209" t="str">
        <f>IF($G$33=0,"",ROUND((G32*J$48/$G$33),0))</f>
        <v/>
      </c>
      <c r="K47" s="323">
        <f t="shared" si="6"/>
        <v>0</v>
      </c>
      <c r="L47" s="212" t="str">
        <f t="shared" si="7"/>
        <v/>
      </c>
      <c r="M47" s="209">
        <f t="shared" si="8"/>
        <v>0</v>
      </c>
      <c r="V47" s="296">
        <f>IF($K32=0,0,IF($K32&lt;$F66,$K32,$F$66))</f>
        <v>0</v>
      </c>
      <c r="W47" s="296">
        <f>IF(J32=0,0,IF(J32&lt;F66,J32,F66))</f>
        <v>0</v>
      </c>
      <c r="X47" s="294">
        <f t="shared" si="9"/>
        <v>0</v>
      </c>
      <c r="Y47" s="297">
        <f>IF(H32&gt;DATE(YEAR(H27),MONTH(H27)+X42+X43+X44+X45+X46,DAY(H27)),H32,DATE(YEAR(H27),MONTH(H27)+X42+X43+X44+X45+X46,DAY(H27)))</f>
        <v>0</v>
      </c>
    </row>
    <row r="48" spans="1:25" s="10" customFormat="1" ht="18" customHeight="1" thickBot="1" x14ac:dyDescent="0.3">
      <c r="A48" s="121"/>
      <c r="B48" s="122" t="s">
        <v>95</v>
      </c>
      <c r="C48" s="216">
        <f>IF(E48-(E7*0.4)&lt;100000,E48,IF((E7*0.4)&lt;E48,ROUND(E7*0.4,0),E48))</f>
        <v>0</v>
      </c>
      <c r="D48" s="216">
        <f t="shared" si="2"/>
        <v>0</v>
      </c>
      <c r="E48" s="216">
        <f>MIN(MAX(N(H95),N(H97),N(H99))+E41,C33-C26+E41,MAX(N(B95),N(B97),N(B99)))</f>
        <v>0</v>
      </c>
      <c r="F48" s="190">
        <f>SUM(F41:F47)</f>
        <v>0</v>
      </c>
      <c r="G48" s="216">
        <f>ROUND(SUM(G42:G47),0)</f>
        <v>0</v>
      </c>
      <c r="H48" s="216">
        <f>ROUND(SUM(H42:H47),0)</f>
        <v>0</v>
      </c>
      <c r="I48" s="216">
        <f>ROUND(MIN(F33,SUM(H72:H77)),0)</f>
        <v>0</v>
      </c>
      <c r="J48" s="216">
        <f>ROUND(MIN(G33,SUM(I72:I89)),0)</f>
        <v>0</v>
      </c>
      <c r="K48" s="216">
        <f>ROUND(SUM(G48:J48),0)</f>
        <v>0</v>
      </c>
      <c r="L48" s="217">
        <f>SUM(L42:L47)</f>
        <v>0</v>
      </c>
      <c r="M48" s="218">
        <f>SUM(M42:M47)</f>
        <v>0</v>
      </c>
      <c r="V48" s="9"/>
      <c r="W48" s="9"/>
      <c r="X48" s="9"/>
    </row>
    <row r="49" spans="1:24" s="48" customFormat="1" ht="27.75" hidden="1" customHeight="1" thickBot="1" x14ac:dyDescent="0.35">
      <c r="A49" s="263"/>
      <c r="B49" s="263"/>
      <c r="C49" s="327">
        <v>0</v>
      </c>
      <c r="D49" s="327">
        <v>0</v>
      </c>
      <c r="E49" s="328">
        <f>C49+D49</f>
        <v>0</v>
      </c>
      <c r="F49" s="329">
        <f>IF(E7=0,0,C49/E7)</f>
        <v>0</v>
      </c>
      <c r="G49" s="123"/>
      <c r="H49" s="124"/>
      <c r="I49" s="248"/>
      <c r="J49" s="421" t="str">
        <f>IF(AND($A$70&gt;1,$A$70&lt;5,G48&gt;0,F33&gt;0,E7&gt;0),"ELF &amp; Distributor MMC / Threshold:","")</f>
        <v/>
      </c>
      <c r="K49" s="249" t="str">
        <f>IF(AND($A$70&gt;1,$A$70&lt;5,G48&gt;0,F33&gt;0,E7&gt;0),SUM(G48,N(H48))/SUM(N(D72),N(D73),N(D74)),"")</f>
        <v/>
      </c>
      <c r="L49" s="127"/>
      <c r="M49" s="128"/>
      <c r="N49" s="129"/>
      <c r="O49" s="49"/>
      <c r="P49" s="49"/>
      <c r="Q49" s="49"/>
      <c r="R49" s="49"/>
    </row>
    <row r="50" spans="1:24" s="48" customFormat="1" ht="18" hidden="1" customHeight="1" thickBot="1" x14ac:dyDescent="0.35">
      <c r="A50" s="330"/>
      <c r="B50" s="331" t="s">
        <v>95</v>
      </c>
      <c r="C50" s="332">
        <f>+C48+C49</f>
        <v>0</v>
      </c>
      <c r="D50" s="332">
        <f>+D48+D49</f>
        <v>0</v>
      </c>
      <c r="E50" s="332">
        <f>+E48+E49</f>
        <v>0</v>
      </c>
      <c r="F50" s="333">
        <f>SUM(F48:F49)</f>
        <v>0</v>
      </c>
      <c r="G50" s="123"/>
      <c r="H50" s="124"/>
      <c r="I50" s="326"/>
      <c r="J50" s="421"/>
      <c r="K50" s="130"/>
      <c r="L50" s="127"/>
      <c r="M50" s="128"/>
      <c r="N50" s="131"/>
    </row>
    <row r="51" spans="1:24" s="10" customFormat="1" ht="16.8" customHeight="1" x14ac:dyDescent="0.25">
      <c r="A51" s="338" t="s">
        <v>223</v>
      </c>
      <c r="B51" s="324"/>
      <c r="C51" s="324"/>
      <c r="D51" s="324"/>
      <c r="E51" s="324"/>
      <c r="F51" s="422"/>
      <c r="G51" s="422"/>
      <c r="H51" s="422"/>
      <c r="I51" s="422"/>
      <c r="J51" s="422"/>
      <c r="K51" s="422"/>
      <c r="L51" s="422"/>
      <c r="M51" s="9"/>
    </row>
    <row r="52" spans="1:24" s="10" customFormat="1" x14ac:dyDescent="0.25">
      <c r="H52" s="340" t="str">
        <f>IF(AND($A$70&lt;8,G48+H48&gt;0,F33&gt;0,E7&gt;0,SUM(N(D72),N(D73),N(D74),N(D76),N(D77))&gt;0),"ELF + EDA / Threshold:","")</f>
        <v/>
      </c>
      <c r="I52" s="341" t="str">
        <f>IF(AND($A$70&lt;8,G48+H48&gt;0,F33&gt;0,E7&gt;0,SUM(N(D72),N(D73),N(D74),N(D76),N(D77))&gt;0),
(G48+H48)/SUM(N(D72),N(D73),N(D74),N(D76),N(D77)),
"")</f>
        <v/>
      </c>
    </row>
    <row r="53" spans="1:24" s="10" customFormat="1" x14ac:dyDescent="0.25"/>
    <row r="54" spans="1:24" s="10" customFormat="1" ht="15" hidden="1" x14ac:dyDescent="0.25">
      <c r="A54" s="423"/>
      <c r="B54" s="422"/>
      <c r="C54" s="422"/>
      <c r="D54" s="422"/>
      <c r="E54" s="422"/>
      <c r="F54" s="422"/>
      <c r="G54" s="422"/>
      <c r="H54" s="422"/>
      <c r="I54" s="422"/>
      <c r="J54" s="422"/>
      <c r="K54" s="422"/>
      <c r="L54" s="263"/>
      <c r="M54" s="9"/>
    </row>
    <row r="55" spans="1:24" s="10" customFormat="1" ht="23.1" customHeight="1" x14ac:dyDescent="0.25">
      <c r="A55" s="19" t="s">
        <v>207</v>
      </c>
      <c r="B55" s="18"/>
      <c r="C55" s="17"/>
      <c r="D55" s="277"/>
      <c r="E55" s="16"/>
      <c r="F55" s="16"/>
      <c r="G55" s="16"/>
      <c r="H55" s="12"/>
      <c r="I55" s="12"/>
      <c r="J55" s="12"/>
      <c r="K55" s="12"/>
      <c r="L55" s="420"/>
      <c r="M55" s="9"/>
      <c r="V55" s="298" t="s">
        <v>211</v>
      </c>
      <c r="W55" s="298" t="s">
        <v>212</v>
      </c>
      <c r="X55" s="135"/>
    </row>
    <row r="56" spans="1:24" s="135" customFormat="1" ht="18" customHeight="1" x14ac:dyDescent="0.25">
      <c r="A56" s="221" t="s">
        <v>17</v>
      </c>
      <c r="B56" s="225">
        <f>IF(AND($D27&lt;&gt;"",$E27=""),$D27,IF(AND($D27="",$E27&lt;&gt;""),$E27,IF(AND($D27="",$F27&lt;&gt;""),$F27,0)))</f>
        <v>0</v>
      </c>
      <c r="C56" s="226" t="s">
        <v>28</v>
      </c>
      <c r="D56" s="227">
        <f>$J$27</f>
        <v>0</v>
      </c>
      <c r="E56" s="226" t="s">
        <v>29</v>
      </c>
      <c r="F56" s="227">
        <v>72</v>
      </c>
      <c r="G56" s="226" t="s">
        <v>30</v>
      </c>
      <c r="H56" s="225" t="str">
        <f>IF(AND(D27&lt;=0,OR(X27=1,V56=FALSE)),"N/A",
IF($J27&lt;F56,B56,
ROUND((B56/D56)*F56,0)))</f>
        <v>N/A</v>
      </c>
      <c r="I56" s="491" t="s">
        <v>31</v>
      </c>
      <c r="J56" s="491"/>
      <c r="K56" s="233">
        <f>DATE(YEAR($H$27),(MONTH($H$27)+$F$56),DAY($H$27))</f>
        <v>2192</v>
      </c>
      <c r="L56" s="424"/>
      <c r="M56" s="134"/>
      <c r="V56" s="225" t="b">
        <f>AND(E27&gt;0,K27="Canadian",L27="No")</f>
        <v>0</v>
      </c>
      <c r="W56" s="299" t="str">
        <f>IF(X27&gt;0,"N/A",
IF(AND($E27&gt;0,L27="Yes"),"N/A (Dist. related to applicant)",
IF(AND($E27&gt;0,$X27=0,$K27="Canadian",$L27=""),"Missing Information",
IF(AND($E27&gt;0,$X27=0,$K27="",$L27&lt;&gt;"Yes"),"Missing Information",
IF(AND($E27&gt;0,$X27=0,$K27="Canadian",$L27="No"),"Total EDA (Can. Right)",
IF(D27&gt;0,"Total Licence",
IF(OR($K27="International",F27&gt;0),"N/A (intl. Right)","")))))))</f>
        <v/>
      </c>
      <c r="X56" s="136"/>
    </row>
    <row r="57" spans="1:24" s="136" customFormat="1" ht="25.5" customHeight="1" x14ac:dyDescent="0.25">
      <c r="A57" s="222"/>
      <c r="B57" s="138" t="str">
        <f>W56</f>
        <v/>
      </c>
      <c r="C57" s="139"/>
      <c r="D57" s="228" t="s">
        <v>32</v>
      </c>
      <c r="E57" s="139"/>
      <c r="F57" s="137" t="s">
        <v>33</v>
      </c>
      <c r="G57" s="139"/>
      <c r="H57" s="138" t="s">
        <v>34</v>
      </c>
      <c r="I57" s="140"/>
      <c r="J57" s="140"/>
      <c r="K57" s="234"/>
      <c r="L57" s="424"/>
      <c r="M57" s="65"/>
      <c r="V57" s="138"/>
      <c r="W57" s="300"/>
      <c r="X57" s="135"/>
    </row>
    <row r="58" spans="1:24" s="135" customFormat="1" ht="18" customHeight="1" x14ac:dyDescent="0.25">
      <c r="A58" s="221" t="s">
        <v>18</v>
      </c>
      <c r="B58" s="225">
        <f>IF(AND($D28&lt;&gt;"",$E28=""),$D28,IF(AND($D28="",$E28&lt;&gt;""),$E28,IF(AND($D28="",$F28&lt;&gt;""),$F28,0)))</f>
        <v>0</v>
      </c>
      <c r="C58" s="226" t="s">
        <v>28</v>
      </c>
      <c r="D58" s="227">
        <f>$J$28</f>
        <v>0</v>
      </c>
      <c r="E58" s="226" t="s">
        <v>29</v>
      </c>
      <c r="F58" s="322">
        <f>IF((YEAR(K$56)-YEAR(Y$43))*12+MONTH(K$56)-MONTH(Y$43)&lt;0,0,(YEAR(K$56)-YEAR(Y$43))*12+MONTH(K$56)-MONTH(Y$43))</f>
        <v>71</v>
      </c>
      <c r="G58" s="226" t="s">
        <v>30</v>
      </c>
      <c r="H58" s="225" t="str">
        <f>IF(AND(D28&lt;=0,OR(X28=1,V58=FALSE)),"N/A",
IF($J28&lt;F58,B58,
ROUND((B58/D58)*F58,0)))</f>
        <v>N/A</v>
      </c>
      <c r="I58" s="231"/>
      <c r="J58" s="231"/>
      <c r="K58" s="235"/>
      <c r="L58" s="424"/>
      <c r="M58" s="134"/>
      <c r="V58" s="225" t="b">
        <f>AND(E28&gt;0,K28="Canadian",L28="No")</f>
        <v>0</v>
      </c>
      <c r="W58" s="299" t="str">
        <f>IF(X28&gt;0,"N/A",
IF(AND($E28&gt;0,L28="Yes"),"N/A (Dist. related to applicant)",
IF(AND($E28&gt;0,$X28=0,$K28="Canadian",$L28=""),"Missing Information",
IF(AND($E28&gt;0,$X28=0,$K28="",$L28&lt;&gt;"Yes"),"Missing Information",
IF(AND($E28&gt;0,$X28=0,$K28="Canadian",$L28="No"),"Total EDA (Can. Right)",
IF(D28&gt;0,"Total Licence",
IF(OR($K28="International",F28&gt;0),"N/A (intl. Right)","")))))))</f>
        <v/>
      </c>
      <c r="X58" s="136"/>
    </row>
    <row r="59" spans="1:24" s="136" customFormat="1" ht="25.5" customHeight="1" x14ac:dyDescent="0.25">
      <c r="A59" s="223"/>
      <c r="B59" s="138" t="str">
        <f>W58</f>
        <v/>
      </c>
      <c r="C59" s="230"/>
      <c r="D59" s="228" t="s">
        <v>32</v>
      </c>
      <c r="E59" s="230"/>
      <c r="F59" s="137" t="s">
        <v>33</v>
      </c>
      <c r="G59" s="139"/>
      <c r="H59" s="138" t="s">
        <v>34</v>
      </c>
      <c r="I59" s="140"/>
      <c r="J59" s="140"/>
      <c r="K59" s="234"/>
      <c r="L59" s="424"/>
      <c r="M59" s="65"/>
      <c r="V59" s="138"/>
      <c r="W59" s="300"/>
      <c r="X59" s="135"/>
    </row>
    <row r="60" spans="1:24" s="135" customFormat="1" ht="18" customHeight="1" x14ac:dyDescent="0.25">
      <c r="A60" s="221" t="s">
        <v>19</v>
      </c>
      <c r="B60" s="225">
        <f>IF(AND($D29&lt;&gt;"",$E29=""),$D29,IF(AND($D29="",$E29&lt;&gt;""),$E29,IF(AND($D29="",$F29&lt;&gt;""),$F29,0)))</f>
        <v>0</v>
      </c>
      <c r="C60" s="226" t="s">
        <v>28</v>
      </c>
      <c r="D60" s="227">
        <f>$J$29</f>
        <v>0</v>
      </c>
      <c r="E60" s="226" t="s">
        <v>29</v>
      </c>
      <c r="F60" s="322">
        <f>IF((YEAR(K$56)-YEAR(Y$44))*12+MONTH(K$56)-MONTH(Y$44)&lt;0,0,(YEAR(K$56)-YEAR(Y$44))*12+MONTH(K$56)-MONTH(Y$44))</f>
        <v>71</v>
      </c>
      <c r="G60" s="226" t="s">
        <v>30</v>
      </c>
      <c r="H60" s="225" t="str">
        <f>IF(AND(D29&lt;=0,OR(X29=1,V60=FALSE)),"N/A",
IF($J29&lt;F60,B60,
ROUND((B60/D60)*F60,0)))</f>
        <v>N/A</v>
      </c>
      <c r="I60" s="231"/>
      <c r="J60" s="231"/>
      <c r="K60" s="235"/>
      <c r="L60" s="424"/>
      <c r="M60" s="134"/>
      <c r="V60" s="225" t="b">
        <f>AND(E29&gt;0,K29="Canadian",L29="No")</f>
        <v>0</v>
      </c>
      <c r="W60" s="299" t="str">
        <f>IF(X29&gt;0,"N/A",
IF(AND($E29&gt;0,L29="Yes"),"N/A (Dist. related to applicant)",
IF(AND($E29&gt;0,$X29=0,$K29="Canadian",$L29=""),"Missing Information",
IF(AND($E29&gt;0,$X29=0,$K29="",$L29&lt;&gt;"Yes"),"Missing Information",
IF(AND($E29&gt;0,$X29=0,$K29="Canadian",$L29="No"),"Total EDA (Can. Right)",
IF(D29&gt;0,"Total Licence",
IF(OR($K29="International",F29&gt;0),"N/A (intl. Right)","")))))))</f>
        <v/>
      </c>
      <c r="X60" s="136"/>
    </row>
    <row r="61" spans="1:24" s="136" customFormat="1" ht="25.5" customHeight="1" x14ac:dyDescent="0.25">
      <c r="A61" s="224"/>
      <c r="B61" s="138" t="str">
        <f>W60</f>
        <v/>
      </c>
      <c r="C61" s="230"/>
      <c r="D61" s="228" t="s">
        <v>32</v>
      </c>
      <c r="E61" s="230"/>
      <c r="F61" s="137" t="s">
        <v>33</v>
      </c>
      <c r="G61" s="139"/>
      <c r="H61" s="138" t="s">
        <v>34</v>
      </c>
      <c r="I61" s="140"/>
      <c r="J61" s="140"/>
      <c r="K61" s="234"/>
      <c r="L61" s="424"/>
      <c r="M61" s="65"/>
      <c r="V61" s="138"/>
      <c r="W61" s="300"/>
      <c r="X61" s="135"/>
    </row>
    <row r="62" spans="1:24" s="135" customFormat="1" ht="18" customHeight="1" x14ac:dyDescent="0.25">
      <c r="A62" s="221" t="s">
        <v>20</v>
      </c>
      <c r="B62" s="225">
        <f>IF(AND($D30&lt;&gt;"",$E30=""),$D30,IF(AND($D30="",$E30&lt;&gt;""),$E30,IF(AND($D30="",$F30&lt;&gt;""),$F30,0)))</f>
        <v>0</v>
      </c>
      <c r="C62" s="226" t="s">
        <v>28</v>
      </c>
      <c r="D62" s="229">
        <f>$J$30</f>
        <v>0</v>
      </c>
      <c r="E62" s="226" t="s">
        <v>29</v>
      </c>
      <c r="F62" s="322">
        <f>IF((YEAR(K$56)-YEAR(Y$45))*12+MONTH(K$56)-MONTH(Y$45)&lt;0,0,(YEAR(K$56)-YEAR(Y$45))*12+MONTH(K$56)-MONTH(Y$45))</f>
        <v>71</v>
      </c>
      <c r="G62" s="226" t="s">
        <v>30</v>
      </c>
      <c r="H62" s="225" t="str">
        <f>IF(AND(D30&lt;=0,OR(X30=1,V62=FALSE)),"N/A",
IF($J30&lt;F62,B62,
ROUND((B62/D62)*F62,0)))</f>
        <v>N/A</v>
      </c>
      <c r="I62" s="231"/>
      <c r="J62" s="231"/>
      <c r="K62" s="235"/>
      <c r="L62" s="424"/>
      <c r="M62" s="134"/>
      <c r="V62" s="225" t="b">
        <f>AND(E30&gt;0,K30="Canadian",L30="No")</f>
        <v>0</v>
      </c>
      <c r="W62" s="321" t="str">
        <f>IF(X30&gt;0,"N/A",
IF(AND($E30&gt;0,L30="Yes"),"N/A (Dist. related to applicant)",
IF(AND($E30&gt;0,$X30=0,$K30="Canadian",$L30=""),"Missing Information",
IF(AND($E30&gt;0,$X30=0,$K30="",$L30&lt;&gt;"Yes"),"Missing Information",
IF(AND($E30&gt;0,$X30=0,$K30="Canadian",$L30="No"),"Total EDA (Can. Right)",
IF(D30&gt;0,"Total Licence",
IF(OR($K30="International",F30&gt;0),"N/A (intl. Right)","")))))))</f>
        <v/>
      </c>
      <c r="X62" s="136"/>
    </row>
    <row r="63" spans="1:24" s="136" customFormat="1" ht="30.6" customHeight="1" x14ac:dyDescent="0.25">
      <c r="A63" s="222"/>
      <c r="B63" s="138" t="str">
        <f>$W62</f>
        <v/>
      </c>
      <c r="C63" s="230"/>
      <c r="D63" s="228" t="s">
        <v>32</v>
      </c>
      <c r="E63" s="230"/>
      <c r="F63" s="137" t="s">
        <v>33</v>
      </c>
      <c r="G63" s="139"/>
      <c r="H63" s="138" t="s">
        <v>34</v>
      </c>
      <c r="I63" s="140"/>
      <c r="J63" s="140"/>
      <c r="K63" s="234"/>
      <c r="L63" s="424"/>
      <c r="M63" s="65"/>
      <c r="V63" s="138"/>
      <c r="W63" s="263"/>
      <c r="X63" s="135"/>
    </row>
    <row r="64" spans="1:24" s="135" customFormat="1" ht="18" customHeight="1" x14ac:dyDescent="0.25">
      <c r="A64" s="221" t="s">
        <v>21</v>
      </c>
      <c r="B64" s="225">
        <f>IF(AND($D31&lt;&gt;"",$E31=""),$D31,IF(AND($D31="",$E31&lt;&gt;""),$E31,IF(AND($D31="",$F31&lt;&gt;""),$F31,0)))</f>
        <v>0</v>
      </c>
      <c r="C64" s="226" t="s">
        <v>28</v>
      </c>
      <c r="D64" s="229">
        <f>$J$31</f>
        <v>0</v>
      </c>
      <c r="E64" s="226" t="s">
        <v>29</v>
      </c>
      <c r="F64" s="322">
        <f>IF((YEAR(K$56)-YEAR(Y$46))*12+MONTH(K$56)-MONTH(Y$46)&lt;0,0,(YEAR(K$56)-YEAR(Y$46))*12+MONTH(K$56)-MONTH(Y$46))</f>
        <v>71</v>
      </c>
      <c r="G64" s="226" t="s">
        <v>30</v>
      </c>
      <c r="H64" s="225" t="str">
        <f>IF(AND(D31&lt;=0,OR(X31=1,V64=FALSE)),"N/A",
IF($J31&lt;F64,B64,
ROUND((B64/D64)*F64,0)))</f>
        <v>N/A</v>
      </c>
      <c r="I64" s="231"/>
      <c r="J64" s="231"/>
      <c r="K64" s="235"/>
      <c r="L64" s="424"/>
      <c r="M64" s="134"/>
      <c r="V64" s="225" t="b">
        <f>AND(E31&gt;0,K31="Canadian",L31="No")</f>
        <v>0</v>
      </c>
      <c r="W64" s="299" t="str">
        <f>IF(X31&gt;0,"N/A",
IF(AND($E31&gt;0,L31="Yes"),"N/A (Dist. related to applicant)",
IF(AND($E31&gt;0,$X31=0,$K31="Canadian",$L31=""),"Missing Information",
IF(AND($E31&gt;0,$X31=0,$K31="",$L31&lt;&gt;"Yes"),"Missing Information",
IF(AND($E31&gt;0,$X31=0,$K31="Canadian",$L31="No"),"Total EDA (Can. Right)",
IF(D31&gt;0,"Total Licence",
IF(OR($K31="International",F31&gt;0),"N/A (intl. Right)","")))))))</f>
        <v/>
      </c>
      <c r="X64" s="136"/>
    </row>
    <row r="65" spans="1:29" s="136" customFormat="1" ht="26.4" customHeight="1" x14ac:dyDescent="0.25">
      <c r="A65" s="223"/>
      <c r="B65" s="138" t="str">
        <f>$W64</f>
        <v/>
      </c>
      <c r="C65" s="230"/>
      <c r="D65" s="228" t="s">
        <v>32</v>
      </c>
      <c r="E65" s="230"/>
      <c r="F65" s="137" t="s">
        <v>33</v>
      </c>
      <c r="G65" s="139"/>
      <c r="H65" s="138" t="s">
        <v>34</v>
      </c>
      <c r="I65" s="140"/>
      <c r="J65" s="140"/>
      <c r="K65" s="234"/>
      <c r="L65" s="424"/>
      <c r="M65" s="65"/>
      <c r="V65" s="138"/>
      <c r="W65" s="263"/>
      <c r="X65" s="135"/>
    </row>
    <row r="66" spans="1:29" s="135" customFormat="1" ht="18" customHeight="1" x14ac:dyDescent="0.25">
      <c r="A66" s="221" t="s">
        <v>22</v>
      </c>
      <c r="B66" s="225">
        <f>IF(AND($D32&lt;&gt;"",$E32=""),$D32,IF(AND($D32="",$E32&lt;&gt;""),$E32,IF(AND($D32="",$F32&lt;&gt;""),$F32,0)))</f>
        <v>0</v>
      </c>
      <c r="C66" s="226" t="s">
        <v>28</v>
      </c>
      <c r="D66" s="229">
        <f>$J$32</f>
        <v>0</v>
      </c>
      <c r="E66" s="226" t="s">
        <v>29</v>
      </c>
      <c r="F66" s="322">
        <f>IF((YEAR(K$56)-YEAR(Y$47))*12+MONTH(K$56)-MONTH(Y$47)&lt;0,0,(YEAR(K$56)-YEAR(Y$47))*12+MONTH(K$56)-MONTH(Y$47))</f>
        <v>71</v>
      </c>
      <c r="G66" s="226" t="s">
        <v>30</v>
      </c>
      <c r="H66" s="225" t="str">
        <f>IF(AND(D32&lt;=0,OR(X32=1,V66=FALSE)),"N/A",
IF($J32&lt;F66,B66,
ROUND((B66/D66)*F66,0)))</f>
        <v>N/A</v>
      </c>
      <c r="I66" s="231"/>
      <c r="J66" s="231"/>
      <c r="K66" s="235"/>
      <c r="L66" s="424"/>
      <c r="M66" s="134"/>
      <c r="V66" s="225" t="b">
        <f>AND(E32&gt;0,K32="Canadian",L32="No")</f>
        <v>0</v>
      </c>
      <c r="W66" s="299" t="str">
        <f>IF(X32&gt;0,"N/A",
IF(AND($E32&gt;0,L32="Yes"),"N/A (Dist. related to applicant)",
IF(AND($E32&gt;0,$X32=0,$K32="Canadian",$L32=""),"Missing Information",
IF(AND($E32&gt;0,$X32=0,$K32="",$L32&lt;&gt;"Yes"),"Missing Information",
IF(AND($E32&gt;0,$X32=0,$K32="Canadian",$L32="No"),"Total EDA (Can. Right)",
IF(D32&gt;0,"Total Licence",
IF(OR($K32="International",F32&gt;0),"N/A (intl. Right)","")))))))</f>
        <v/>
      </c>
      <c r="X66" s="136"/>
    </row>
    <row r="67" spans="1:29" s="136" customFormat="1" ht="26.4" customHeight="1" x14ac:dyDescent="0.25">
      <c r="A67" s="236"/>
      <c r="B67" s="232" t="str">
        <f>$W66</f>
        <v/>
      </c>
      <c r="C67" s="231"/>
      <c r="D67" s="228" t="s">
        <v>32</v>
      </c>
      <c r="E67" s="231"/>
      <c r="F67" s="228" t="s">
        <v>33</v>
      </c>
      <c r="G67" s="228"/>
      <c r="H67" s="232" t="s">
        <v>34</v>
      </c>
      <c r="I67" s="231"/>
      <c r="J67" s="231"/>
      <c r="K67" s="235"/>
      <c r="L67" s="424"/>
    </row>
    <row r="68" spans="1:29" s="136" customFormat="1" ht="33" customHeight="1" x14ac:dyDescent="0.25">
      <c r="A68" s="137"/>
      <c r="B68" s="138"/>
      <c r="C68" s="137"/>
      <c r="D68" s="137"/>
      <c r="E68" s="139"/>
      <c r="F68" s="139"/>
      <c r="G68" s="137"/>
      <c r="H68" s="139"/>
      <c r="I68" s="139"/>
      <c r="J68" s="138"/>
      <c r="K68" s="140"/>
      <c r="L68" s="424"/>
      <c r="S68" s="263"/>
      <c r="T68" s="263"/>
    </row>
    <row r="69" spans="1:29" s="136" customFormat="1" ht="23.1" customHeight="1" x14ac:dyDescent="0.25">
      <c r="A69" s="237" t="s">
        <v>208</v>
      </c>
      <c r="B69" s="238"/>
      <c r="C69" s="238"/>
      <c r="D69" s="193"/>
      <c r="E69" s="193"/>
      <c r="F69" s="193"/>
      <c r="G69" s="193"/>
      <c r="H69" s="492" t="s">
        <v>209</v>
      </c>
      <c r="I69" s="493"/>
      <c r="K69" s="193"/>
      <c r="L69" s="193"/>
      <c r="S69" s="286"/>
      <c r="T69" s="286"/>
    </row>
    <row r="70" spans="1:29" s="136" customFormat="1" ht="57.75" customHeight="1" x14ac:dyDescent="0.25">
      <c r="A70" s="452">
        <v>20</v>
      </c>
      <c r="B70" s="239" t="s">
        <v>35</v>
      </c>
      <c r="C70" s="425" t="s">
        <v>36</v>
      </c>
      <c r="D70" s="425" t="s">
        <v>37</v>
      </c>
      <c r="E70" s="494" t="s">
        <v>38</v>
      </c>
      <c r="F70" s="490"/>
      <c r="G70" s="425" t="s">
        <v>39</v>
      </c>
      <c r="H70" s="240" t="s">
        <v>160</v>
      </c>
      <c r="I70" s="426" t="s">
        <v>161</v>
      </c>
      <c r="J70" s="334"/>
      <c r="K70" s="427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</row>
    <row r="71" spans="1:29" s="136" customFormat="1" ht="24.9" customHeight="1" x14ac:dyDescent="0.25">
      <c r="A71" s="428"/>
      <c r="B71" s="394" t="s">
        <v>40</v>
      </c>
      <c r="C71" s="395"/>
      <c r="D71" s="429"/>
      <c r="E71" s="430"/>
      <c r="F71" s="431"/>
      <c r="G71" s="430"/>
      <c r="H71" s="432"/>
      <c r="I71" s="253"/>
      <c r="J71" s="433" t="s">
        <v>201</v>
      </c>
      <c r="K71" s="433" t="s">
        <v>9</v>
      </c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</row>
    <row r="72" spans="1:29" s="136" customFormat="1" ht="35.1" customHeight="1" x14ac:dyDescent="0.25">
      <c r="A72" s="428"/>
      <c r="B72" s="434" t="s">
        <v>147</v>
      </c>
      <c r="C72" s="555" t="str">
        <f>IF(E$11="Yes","Lesser of 10% or
$130,000/hour","10%")</f>
        <v>10%</v>
      </c>
      <c r="D72" s="250" t="str">
        <f>IF(AND(E$11&lt;&gt;"Yes",A$70=2),ROUND(10%*$E$7,0),
IF(AND(E$11="Yes",A$70=2),MIN(ROUND(10%*$E$7,0),ROUND(130000*L$7,0)),"N/A"))</f>
        <v>N/A</v>
      </c>
      <c r="E72" s="343" t="str">
        <f>IF(D72="N/A","N/A",
IF(G$48+H$48&gt;=D72,"Yes",
IF(AND($A$70&lt;=8,G$48+H$48&gt;=75%*D72,G$48+H$48+MIN(F$33,MAX(0,D72-G$48-H$48))&gt;=D72),"Yes",
IF(AND(G$48+H$48&gt;=51%*D72,G$48+H$48+IF(G$48+H$48&gt;=75%*D72,MIN(F$33,MAX(0,D72-G$48-H$48)),0)+MIN(G$33,MAX(D72-G$48-H$48-IF(G$48+H$48&gt;=75%*D72,MIN(F$33,MAX(0,D72-G$48-H$48)),0),0))&gt;=D72),"Yes",
"No"))))</f>
        <v>N/A</v>
      </c>
      <c r="F72" s="342"/>
      <c r="G72" s="250" t="str">
        <f>IF(E72="N/A","N/A",G$48+MIN(H$48,E$33)+MIN(I$48,F$33)+MIN(J$48,G$33)-D72)</f>
        <v>N/A</v>
      </c>
      <c r="H72" s="251" t="str">
        <f>IF(E72="N/A","N/A",
IF(AND($A$70=2,F$33&gt;0,G$48+H$48&gt;=75%*D72),MAX(ROUND(D72-G$48-H$48,0),0),0))</f>
        <v>N/A</v>
      </c>
      <c r="I72" s="251" t="str">
        <f>IF(E72="N/A","N/A",
IF(AND($A$70=2,G$33&gt;0,G$48+H$48&gt;=51%*D72),MAX(ROUND(D72-G$48-H$48-I$48,0),0),0))</f>
        <v>N/A</v>
      </c>
      <c r="J72" s="335" t="s">
        <v>188</v>
      </c>
      <c r="K72" s="335" t="s">
        <v>8</v>
      </c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</row>
    <row r="73" spans="1:29" s="136" customFormat="1" ht="35.1" customHeight="1" x14ac:dyDescent="0.25">
      <c r="A73" s="428"/>
      <c r="B73" s="434" t="s">
        <v>41</v>
      </c>
      <c r="C73" s="556">
        <v>0.1</v>
      </c>
      <c r="D73" s="250" t="str">
        <f>IF(A$70=3,ROUND(C73*$E$7,0),"N/A")</f>
        <v>N/A</v>
      </c>
      <c r="E73" s="343" t="str">
        <f>IF(D73="N/A","N/A",
IF(G$48+H$48&gt;=D73,"Yes",
IF(AND($A$70&lt;=8,G$48+H$48&gt;=75%*D73,G$48+H$48+MIN(F$33,MAX(0,D73-G$48-H$48))&gt;=D73),"Yes",
IF(AND(G$48+H$48&gt;=51%*D73,G$48+H$48+IF(G$48+H$48&gt;=75%*D73,MIN(F$33,MAX(0,D73-G$48-H$48)),0)+MIN(G$33,MAX(D73-G$48-H$48-IF(G$48+H$48&gt;=75%*D73,MIN(F$33,MAX(0,D73-G$48-H$48)),0),0))&gt;=D73),"Yes",
"No"))))</f>
        <v>N/A</v>
      </c>
      <c r="F73" s="342"/>
      <c r="G73" s="250" t="str">
        <f>IF(E73="N/A","N/A",G$48+MIN(H$48,E$33)+MIN(I$48,F$33)+MIN(J$48,G$33)-D73)</f>
        <v>N/A</v>
      </c>
      <c r="H73" s="251" t="str">
        <f>IF(E73="N/A","N/A",
IF(AND($A$70=3,F$33&gt;0,G$48+H$48&gt;=75%*D73),MAX(ROUND(D73-G$48-H$48,0),0),0))</f>
        <v>N/A</v>
      </c>
      <c r="I73" s="251" t="str">
        <f>IF(E73="N/A","N/A",
IF(AND($A$70=3,G$33&gt;0,G$48+H$48&gt;=51%*D73),MAX(ROUND(D73-G$48-H$48-I$48,0),0),0))</f>
        <v>N/A</v>
      </c>
      <c r="J73" s="334"/>
      <c r="K73" s="336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</row>
    <row r="74" spans="1:29" s="136" customFormat="1" ht="35.1" customHeight="1" x14ac:dyDescent="0.25">
      <c r="A74" s="428"/>
      <c r="B74" s="434" t="s">
        <v>42</v>
      </c>
      <c r="C74" s="555" t="str">
        <f>IF(E$11="Yes","Lesser of 5% or
$190,000/project","10%")</f>
        <v>10%</v>
      </c>
      <c r="D74" s="250" t="str">
        <f>IF(AND(E$11&lt;&gt;"Yes",A$70=4),ROUND(10%*$E$7,0),
IF(AND(E$11="Yes",A$70=4),MIN(ROUND(E$7*5%,0),190000),"N/A"))</f>
        <v>N/A</v>
      </c>
      <c r="E74" s="343" t="str">
        <f>IF(D74="N/A","N/A",
IF(G$48+H$48&gt;=D74,"Yes",
IF(AND($A$70&lt;=8,G$48+H$48&gt;=75%*D74,G$48+H$48+MIN(F$33,MAX(0,D74-G$48-H$48))&gt;=D74),"Yes",
IF(AND(G$48+H$48&gt;=51%*D74,G$48+H$48+IF(G$48+H$48&gt;=75%*D74,MIN(F$33,MAX(0,D74-G$48-H$48)),0)+MIN(G$33,MAX(D74-G$48-H$48-IF(G$48+H$48&gt;=75%*D74,MIN(F$33,MAX(0,D74-G$48-H$48)),0),0))&gt;=D74),"Yes",
"No"))))</f>
        <v>N/A</v>
      </c>
      <c r="F74" s="342"/>
      <c r="G74" s="250" t="str">
        <f>IF(E74="N/A","N/A",G$48+MIN(H$48,E$33)+MIN(I$48,F$33)+MIN(J$48,G$33)-D74)</f>
        <v>N/A</v>
      </c>
      <c r="H74" s="251" t="str">
        <f>IF(E74="N/A","N/A",
IF(AND($A$70=4,F$33&gt;0,G$48+H$48&gt;=75%*D74),MAX(ROUND(D74-G$48-H$48,0),0),0))</f>
        <v>N/A</v>
      </c>
      <c r="I74" s="251" t="str">
        <f>IF(E74="N/A","N/A",
IF(AND($A$70=4,G$33&gt;0,G$48+H$48&gt;=51%*D74),MAX(ROUND(D74-G$48-H$48-I$48,0),0),0))</f>
        <v>N/A</v>
      </c>
      <c r="J74" s="334"/>
      <c r="K74" s="336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</row>
    <row r="75" spans="1:29" s="136" customFormat="1" ht="24.9" customHeight="1" x14ac:dyDescent="0.25">
      <c r="A75" s="428"/>
      <c r="B75" s="436" t="s">
        <v>43</v>
      </c>
      <c r="C75" s="437"/>
      <c r="D75" s="429"/>
      <c r="E75" s="429"/>
      <c r="F75" s="431"/>
      <c r="G75" s="430"/>
      <c r="H75" s="432"/>
      <c r="I75" s="438"/>
      <c r="J75" s="334"/>
      <c r="K75" s="336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</row>
    <row r="76" spans="1:29" s="136" customFormat="1" ht="50.1" customHeight="1" x14ac:dyDescent="0.25">
      <c r="A76" s="428"/>
      <c r="B76" s="434" t="s">
        <v>158</v>
      </c>
      <c r="C76" s="555" t="str">
        <f>IF(E$11="Yes","Lesser of 10% or
$100,000/hour","10%")</f>
        <v>10%</v>
      </c>
      <c r="D76" s="250" t="str">
        <f>IF(AND(E$11&lt;&gt;"Yes",A$70=6),ROUND(10%*$E$7,0),
IF(AND(E$11="Yes",A$70=6),MIN(ROUND((10%*E$7),0),ROUND(100000*L$7,0)),"N/A"))</f>
        <v>N/A</v>
      </c>
      <c r="E76" s="343" t="str">
        <f>IF(D76="N/A","N/A",
IF(G$48+H$48&gt;=D76,"Yes",
IF(AND($A$70&lt;=8,G$48+H$48&gt;=75%*D76,G$48+H$48+MIN(F$33,MAX(0,D76-G$48-H$48))&gt;=D76),"Yes",
IF(AND(G$48+H$48&gt;=51%*D76,G$48+H$48+IF(G$48+H$48&gt;=75%*D76,MIN(F$33,MAX(0,D76-G$48-H$48)),0)+MIN(G$33,MAX(D76-G$48-H$48-IF(G$48+H$48&gt;=75%*D76,MIN(F$33,MAX(0,D76-G$48-H$48)),0),0))&gt;=D76),"Yes",
"No"))))</f>
        <v>N/A</v>
      </c>
      <c r="F76" s="342"/>
      <c r="G76" s="250" t="str">
        <f>IF(E76="N/A","N/A",G$48+MIN(H$48,E$33)+MIN(I$48,F$33)+MIN(J$48,G$33)-D76)</f>
        <v>N/A</v>
      </c>
      <c r="H76" s="251" t="str">
        <f>IF(E76="N/A","N/A",
IF(AND($A$70=6,F$33&gt;0,G$48+H$48&gt;=75%*D76),MAX(ROUND(D76-G$48-H$48,0),0),0))</f>
        <v>N/A</v>
      </c>
      <c r="I76" s="251" t="str">
        <f>IF(E76="N/A","N/A",IF(AND($A$70=6,G$33&gt;0,G$48+H$48&gt;=51%*D76),MAX(ROUND(D76-G$48-H$48-I$48,0),0),0))</f>
        <v>N/A</v>
      </c>
      <c r="J76" s="334"/>
      <c r="K76" s="336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</row>
    <row r="77" spans="1:29" s="136" customFormat="1" ht="35.1" customHeight="1" x14ac:dyDescent="0.25">
      <c r="A77" s="428"/>
      <c r="B77" s="434" t="s">
        <v>153</v>
      </c>
      <c r="C77" s="555" t="str">
        <f>IF(E$11="Yes","Lesser of 10% or
$90,000/project","10%")</f>
        <v>10%</v>
      </c>
      <c r="D77" s="250" t="str">
        <f>IF(AND(E$11&lt;&gt;"Yes",A$70=7),ROUND(10%*$E$7,0),
IF(AND(E$11="Yes",A$70=7),MIN(ROUND((10%*$E$7),0),90000),"N/A"))</f>
        <v>N/A</v>
      </c>
      <c r="E77" s="343" t="str">
        <f>IF(D77="N/A","N/A",
IF(G$48+H$48&gt;=D77,"Yes",
IF(AND($A$70&lt;=8,G$48+H$48&gt;=75%*D77,G$48+H$48+MIN(F$33,MAX(0,D77-G$48-H$48))&gt;=D77),"Yes",
IF(AND(G$48+H$48&gt;=51%*D77,ROUND(G$48+H$48+IF(G$48+H$48&gt;=75%*D77,MIN(F$33,MAX(0,D77-G$48-H$48)),0)+MIN(G$33,MAX(D77-G$48-H$48-IF(G$48+H$48&gt;=75%*D77,MIN(F$33,MAX(0,D77-G$48-H$48)),0),0)),0)&gt;=D77),"Yes",
"No"))))</f>
        <v>N/A</v>
      </c>
      <c r="F77" s="342"/>
      <c r="G77" s="250" t="str">
        <f>IF(E77="N/A","N/A",ROUND(G$48+MIN(H$48,E$33)+MIN(I$48,F$33)+MIN(J$48,G$33)-D77,0))</f>
        <v>N/A</v>
      </c>
      <c r="H77" s="251" t="str">
        <f>IF(E77="N/A","N/A",
IF(AND($A$70=7,F$33&gt;0,G$48+H$48&gt;=75%*D77),MAX(ROUND(D77-G$48-H$48,0),0),0))</f>
        <v>N/A</v>
      </c>
      <c r="I77" s="251" t="str">
        <f>IF(E77="N/A","N/A",IF(AND($A$70=7,G$33&gt;0,G$48+H$48&gt;=51%*D77),MAX(ROUND(D77-G$48-H$48-I$48,0),0),0))</f>
        <v>N/A</v>
      </c>
      <c r="J77" s="334"/>
      <c r="K77" s="336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</row>
    <row r="78" spans="1:29" s="136" customFormat="1" ht="24.9" customHeight="1" x14ac:dyDescent="0.25">
      <c r="A78" s="428"/>
      <c r="B78" s="436" t="s">
        <v>50</v>
      </c>
      <c r="C78" s="437"/>
      <c r="D78" s="429"/>
      <c r="E78" s="429"/>
      <c r="F78" s="431"/>
      <c r="G78" s="430"/>
      <c r="H78" s="432"/>
      <c r="I78" s="438"/>
      <c r="J78" s="334"/>
      <c r="K78" s="336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  <c r="X78" s="263"/>
      <c r="Y78" s="263"/>
      <c r="Z78" s="263"/>
      <c r="AA78" s="263"/>
      <c r="AB78" s="263"/>
      <c r="AC78" s="263"/>
    </row>
    <row r="79" spans="1:29" s="136" customFormat="1" ht="35.1" customHeight="1" x14ac:dyDescent="0.25">
      <c r="A79" s="428"/>
      <c r="B79" s="435" t="s">
        <v>148</v>
      </c>
      <c r="C79" s="555" t="str">
        <f>IF(E$11="Yes","Lesser of 10% or
$240,000/hour","10%")</f>
        <v>10%</v>
      </c>
      <c r="D79" s="250" t="str">
        <f>IF(AND(E$11&lt;&gt;"Yes",A$70=9),ROUND(10%*$E$7,0),
IF(AND(E$11="Yes",A$70=9),MIN(ROUND((10%*E$7),0),ROUND(240000*L$7,0)),"N/A"))</f>
        <v>N/A</v>
      </c>
      <c r="E79" s="343" t="str">
        <f>IF(D79="N/A","N/A",
IF(G$48+H$48&gt;=D79,"Yes",
IF(AND(G$48+H$48&gt;=51%*D79,G$48+H$48+MIN(G$33,MAX(D79-G$48-H$48,0))&gt;=D79),"Yes",
"No")))</f>
        <v>N/A</v>
      </c>
      <c r="F79" s="342"/>
      <c r="G79" s="250" t="str">
        <f>IF(E79="N/A","N/A",G$48+MIN(H$48,E$33)+MIN(I$48,F$33)+MIN(J$48,G$33)-D79)</f>
        <v>N/A</v>
      </c>
      <c r="H79" s="439"/>
      <c r="I79" s="251" t="str">
        <f>IF(E79="N/A","N/A",IF(AND($A$70=9,G$33&gt;0,G$48+H$48&gt;=51%*D79),MAX(ROUND(D79-G$48-H$48-I$48,0),0),0))</f>
        <v>N/A</v>
      </c>
      <c r="J79" s="334"/>
      <c r="K79" s="336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</row>
    <row r="80" spans="1:29" s="136" customFormat="1" ht="24.9" customHeight="1" x14ac:dyDescent="0.25">
      <c r="A80" s="428"/>
      <c r="B80" s="436" t="s">
        <v>44</v>
      </c>
      <c r="C80" s="437"/>
      <c r="D80" s="429"/>
      <c r="E80" s="429"/>
      <c r="F80" s="431"/>
      <c r="G80" s="430"/>
      <c r="H80" s="432"/>
      <c r="I80" s="438"/>
      <c r="J80" s="334"/>
      <c r="K80" s="336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</row>
    <row r="81" spans="1:33" s="136" customFormat="1" ht="35.1" customHeight="1" x14ac:dyDescent="0.25">
      <c r="A81" s="428"/>
      <c r="B81" s="434" t="s">
        <v>45</v>
      </c>
      <c r="C81" s="555" t="str">
        <f>IF(E$11="Yes","Lesser of 10% or 
$315,000/hour","10%")</f>
        <v>10%</v>
      </c>
      <c r="D81" s="250" t="str">
        <f>IF(AND(E$11&lt;&gt;"Yes",A$70=11),ROUND(10%*$E$7,0),
IF(AND(E$11="Yes",A$70=11),MIN(ROUND((10%*E$7),0),ROUND(315000*L$7,0)),"N/A"))</f>
        <v>N/A</v>
      </c>
      <c r="E81" s="343" t="str">
        <f t="shared" ref="E81:E87" si="10">IF(D81="N/A","N/A",
IF(G$48+H$48&gt;=D81,"Yes",
IF(AND(G$48+H$48&gt;=51%*D81,G$48+H$48+MIN(G$33,MAX(D81-G$48-H$48,0))&gt;=D81),"Yes",
"No")))</f>
        <v>N/A</v>
      </c>
      <c r="F81" s="342"/>
      <c r="G81" s="250" t="str">
        <f t="shared" ref="G81:G87" si="11">IF(E81="N/A","N/A",G$48+MIN(H$48,E$33)+MIN(I$48,F$33)+MIN(J$48,G$33)-D81)</f>
        <v>N/A</v>
      </c>
      <c r="H81" s="439"/>
      <c r="I81" s="251" t="str">
        <f>IF(E81="N/A","N/A",IF(AND($A$70=11,G$33&gt;0,G$48+H$48&gt;=51%*D81),MAX(ROUND(D81-G$48-H$48-I$48,0),0),0))</f>
        <v>N/A</v>
      </c>
      <c r="J81" s="334"/>
      <c r="K81" s="336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</row>
    <row r="82" spans="1:33" s="136" customFormat="1" ht="50.1" customHeight="1" x14ac:dyDescent="0.25">
      <c r="A82" s="428"/>
      <c r="B82" s="434" t="s">
        <v>46</v>
      </c>
      <c r="C82" s="555" t="str">
        <f>IF(E$11="Yes","Lesser of 10% or
$315,000/hour","10%")</f>
        <v>10%</v>
      </c>
      <c r="D82" s="250" t="str">
        <f>IF(AND(E$11&lt;&gt;"Yes",A$70=12),ROUND(10%*$E$7,0),
IF(AND(E$11="Yes",A$70=12),MIN(ROUND((10%*E$7),0),ROUND(315000*L$7,0)),"N/A"))</f>
        <v>N/A</v>
      </c>
      <c r="E82" s="343" t="str">
        <f t="shared" si="10"/>
        <v>N/A</v>
      </c>
      <c r="F82" s="342"/>
      <c r="G82" s="250" t="str">
        <f t="shared" si="11"/>
        <v>N/A</v>
      </c>
      <c r="H82" s="252"/>
      <c r="I82" s="251" t="str">
        <f>IF(E82="N/A","N/A",IF(AND($A$70=12,G$33&gt;0,G$48+H$48&gt;=51%*D82),MAX(ROUND(D82-G$48-H$48-I$48,0),0),0))</f>
        <v>N/A</v>
      </c>
      <c r="J82" s="334"/>
      <c r="K82" s="336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</row>
    <row r="83" spans="1:33" s="136" customFormat="1" ht="60" customHeight="1" x14ac:dyDescent="0.25">
      <c r="A83" s="428"/>
      <c r="B83" s="434" t="s">
        <v>164</v>
      </c>
      <c r="C83" s="555" t="str">
        <f>IF(E$11="Yes","Lesser of 10% or
$235,000/hour","10%")</f>
        <v>10%</v>
      </c>
      <c r="D83" s="250" t="str">
        <f>IF(AND(E$11&lt;&gt;"Yes",A$70=13),ROUND(10%*$E$7,0),
IF(AND(E$11="Yes",A$70=13),MIN(ROUND((10%*E$7),0),ROUND(235000*L$7,0)),"N/A"))</f>
        <v>N/A</v>
      </c>
      <c r="E83" s="343" t="str">
        <f t="shared" si="10"/>
        <v>N/A</v>
      </c>
      <c r="F83" s="342"/>
      <c r="G83" s="250" t="str">
        <f t="shared" si="11"/>
        <v>N/A</v>
      </c>
      <c r="H83" s="440"/>
      <c r="I83" s="251" t="str">
        <f>IF(E83="N/A","N/A",IF(AND($A$70=13,G$33&gt;0,G$48+H$48&gt;=51%*D83),MAX(ROUND(D83-G$48-H$48-I$48,0),0),0))</f>
        <v>N/A</v>
      </c>
      <c r="J83" s="334"/>
      <c r="K83" s="336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</row>
    <row r="84" spans="1:33" s="136" customFormat="1" ht="41.4" customHeight="1" x14ac:dyDescent="0.25">
      <c r="A84" s="428"/>
      <c r="B84" s="434" t="s">
        <v>165</v>
      </c>
      <c r="C84" s="556">
        <v>0.1</v>
      </c>
      <c r="D84" s="250" t="str">
        <f>IF(A$70=14,ROUND((10%*$E$7),0),"N/A")</f>
        <v>N/A</v>
      </c>
      <c r="E84" s="343" t="str">
        <f t="shared" si="10"/>
        <v>N/A</v>
      </c>
      <c r="F84" s="342"/>
      <c r="G84" s="250" t="str">
        <f t="shared" si="11"/>
        <v>N/A</v>
      </c>
      <c r="H84" s="441"/>
      <c r="I84" s="251" t="str">
        <f>IF(E84="N/A","N/A",IF(AND($A$70=14,G$33&gt;0,G$48+H$48&gt;=51%*D84),MAX(ROUND(D84-G$48-H$48-I$48,0),0),0))</f>
        <v>N/A</v>
      </c>
      <c r="J84" s="334"/>
      <c r="K84" s="336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</row>
    <row r="85" spans="1:33" s="136" customFormat="1" ht="35.1" customHeight="1" x14ac:dyDescent="0.25">
      <c r="A85" s="428"/>
      <c r="B85" s="434" t="s">
        <v>47</v>
      </c>
      <c r="C85" s="555" t="str">
        <f>IF(E$11="Yes","Lesser of 5% or
$230,000/project","10%")</f>
        <v>10%</v>
      </c>
      <c r="D85" s="250" t="str">
        <f>IF(AND(E$11&lt;&gt;"Yes",A$70=15),ROUND(10%*$E$7,0),
IF(AND(E$11="Yes",A$70=15),MIN(ROUND((5%*E$7),0),230000),"N/A"))</f>
        <v>N/A</v>
      </c>
      <c r="E85" s="343" t="str">
        <f t="shared" si="10"/>
        <v>N/A</v>
      </c>
      <c r="F85" s="342"/>
      <c r="G85" s="250" t="str">
        <f t="shared" si="11"/>
        <v>N/A</v>
      </c>
      <c r="H85" s="441"/>
      <c r="I85" s="251" t="str">
        <f>IF(E85="N/A","N/A",IF(AND($A$70=15,G$33&gt;0,G$48+H$48&gt;=51%*D85),MAX(ROUND(D85-G$48-H$48-I$48,0),0),0))</f>
        <v>N/A</v>
      </c>
      <c r="J85" s="334"/>
      <c r="K85" s="336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</row>
    <row r="86" spans="1:33" s="136" customFormat="1" ht="39" customHeight="1" x14ac:dyDescent="0.25">
      <c r="A86" s="428"/>
      <c r="B86" s="434" t="s">
        <v>48</v>
      </c>
      <c r="C86" s="555" t="str">
        <f>IF(E$11="Yes","Lesser of 10% or 
$205,000/1/2-hour","10%")</f>
        <v>10%</v>
      </c>
      <c r="D86" s="250" t="str">
        <f>IF(AND(E$11&lt;&gt;"Yes",A$70=16),ROUND(10%*$E$7,0),
IF(AND(E$11="Yes",A$70=16),MIN(ROUND((10%*E$7),0),ROUND(2*205000*L$7,0)),"N/A"))</f>
        <v>N/A</v>
      </c>
      <c r="E86" s="343" t="str">
        <f t="shared" si="10"/>
        <v>N/A</v>
      </c>
      <c r="F86" s="342"/>
      <c r="G86" s="250" t="str">
        <f t="shared" si="11"/>
        <v>N/A</v>
      </c>
      <c r="H86" s="441"/>
      <c r="I86" s="251" t="str">
        <f>IF(E86="N/A","N/A",IF(AND($A$70=16,G$33&gt;0,G$48+H$48&gt;=51%*D86),MAX(ROUND(D86-G$48-H$48-I$48,0),0),0))</f>
        <v>N/A</v>
      </c>
      <c r="J86" s="334"/>
      <c r="K86" s="336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</row>
    <row r="87" spans="1:33" s="136" customFormat="1" ht="35.1" customHeight="1" x14ac:dyDescent="0.25">
      <c r="A87" s="428"/>
      <c r="B87" s="434" t="s">
        <v>49</v>
      </c>
      <c r="C87" s="555" t="str">
        <f>IF(E$11="Yes","Lesser of 10% or
$525,000/hour","10%")</f>
        <v>10%</v>
      </c>
      <c r="D87" s="250" t="str">
        <f>IF(AND(E$11&lt;&gt;"Yes",A$70=17),ROUND(10%*$E$7,0),
IF(AND(E$11="Yes",A$70=17),MIN(ROUND((10%*E$7),0),ROUND(525000*L$7,0)),"N/A"))</f>
        <v>N/A</v>
      </c>
      <c r="E87" s="343" t="str">
        <f t="shared" si="10"/>
        <v>N/A</v>
      </c>
      <c r="F87" s="342"/>
      <c r="G87" s="250" t="str">
        <f t="shared" si="11"/>
        <v>N/A</v>
      </c>
      <c r="H87" s="441"/>
      <c r="I87" s="251" t="str">
        <f>IF(E87="N/A","N/A",IF(AND($A$70=17,G$33&gt;0,G$48+H$48&gt;=51%*D87),MAX(ROUND(D87-G$48-H$48-I$48,0),0),0))</f>
        <v>N/A</v>
      </c>
      <c r="J87" s="334"/>
      <c r="K87" s="336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</row>
    <row r="88" spans="1:33" s="136" customFormat="1" ht="24.9" customHeight="1" x14ac:dyDescent="0.25">
      <c r="A88" s="428"/>
      <c r="B88" s="403" t="s">
        <v>149</v>
      </c>
      <c r="C88" s="557"/>
      <c r="D88" s="431"/>
      <c r="E88" s="431"/>
      <c r="F88" s="431"/>
      <c r="G88" s="431"/>
      <c r="H88" s="442"/>
      <c r="I88" s="438"/>
      <c r="J88" s="334"/>
      <c r="K88" s="336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</row>
    <row r="89" spans="1:33" s="136" customFormat="1" ht="44.55" customHeight="1" x14ac:dyDescent="0.25">
      <c r="A89" s="428"/>
      <c r="B89" s="434" t="s">
        <v>150</v>
      </c>
      <c r="C89" s="556">
        <v>0.1</v>
      </c>
      <c r="D89" s="250" t="str">
        <f>IF(A$70=19,ROUND((10%*$E$7),0),"N/A")</f>
        <v>N/A</v>
      </c>
      <c r="E89" s="343" t="str">
        <f>IF(D89="N/A","N/A",
IF(G$48+H$48&gt;=D89,"Yes",
IF(AND(G$48+H$48&gt;=51%*D89,G$48+H$48+MIN(G$33,MAX(D89-G$48-H$48,0))&gt;=D89),"Yes",
"No")))</f>
        <v>N/A</v>
      </c>
      <c r="F89" s="342"/>
      <c r="G89" s="250" t="str">
        <f>IF(E89="N/A","N/A",G$48+MIN(H$48,E$33)+MIN(I$48,F$33)+MIN(J$48,G$33)-D89)</f>
        <v>N/A</v>
      </c>
      <c r="H89" s="441"/>
      <c r="I89" s="251" t="str">
        <f>IF(E89="N/A","N/A",IF(AND($A$70=19,G$33&gt;0,G$48+H$48&gt;=51%*D89),MAX(ROUND(D89-G$48-H$48-I$48,0),0),0))</f>
        <v>N/A</v>
      </c>
      <c r="J89" s="334"/>
      <c r="K89" s="336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</row>
    <row r="90" spans="1:33" s="424" customFormat="1" ht="15" x14ac:dyDescent="0.25">
      <c r="A90" s="44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C90" s="263"/>
      <c r="AD90" s="263"/>
      <c r="AE90" s="263"/>
      <c r="AF90" s="263"/>
      <c r="AG90" s="263"/>
    </row>
    <row r="91" spans="1:33" s="424" customFormat="1" ht="24.9" customHeight="1" x14ac:dyDescent="0.25">
      <c r="A91" s="241" t="s">
        <v>51</v>
      </c>
      <c r="B91" s="242"/>
      <c r="K91" s="444"/>
      <c r="L91" s="444"/>
      <c r="M91" s="444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C91" s="263"/>
      <c r="AD91" s="263"/>
      <c r="AE91" s="263"/>
      <c r="AF91" s="263"/>
      <c r="AG91" s="263"/>
    </row>
    <row r="92" spans="1:33" s="136" customFormat="1" ht="38.25" customHeight="1" x14ac:dyDescent="0.25">
      <c r="A92" s="445"/>
      <c r="B92" s="495" t="s">
        <v>52</v>
      </c>
      <c r="C92" s="496"/>
      <c r="D92" s="497"/>
      <c r="E92" s="498" t="s">
        <v>145</v>
      </c>
      <c r="F92" s="499"/>
      <c r="G92" s="500"/>
      <c r="H92" s="501" t="s">
        <v>222</v>
      </c>
      <c r="I92" s="501"/>
      <c r="J92" s="502"/>
      <c r="K92" s="444"/>
      <c r="L92" s="444"/>
      <c r="M92" s="444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C92" s="263"/>
      <c r="AD92" s="263"/>
      <c r="AE92" s="263"/>
      <c r="AF92" s="263"/>
      <c r="AG92" s="263"/>
    </row>
    <row r="93" spans="1:33" s="136" customFormat="1" ht="45" customHeight="1" x14ac:dyDescent="0.25">
      <c r="A93" s="221" t="s">
        <v>35</v>
      </c>
      <c r="B93" s="243" t="s">
        <v>53</v>
      </c>
      <c r="C93" s="243" t="s">
        <v>54</v>
      </c>
      <c r="D93" s="244" t="s">
        <v>55</v>
      </c>
      <c r="E93" s="446" t="s">
        <v>128</v>
      </c>
      <c r="F93" s="245" t="s">
        <v>54</v>
      </c>
      <c r="G93" s="245" t="s">
        <v>55</v>
      </c>
      <c r="H93" s="246" t="s">
        <v>56</v>
      </c>
      <c r="I93" s="247" t="s">
        <v>54</v>
      </c>
      <c r="J93" s="247" t="s">
        <v>55</v>
      </c>
      <c r="K93" s="444"/>
      <c r="L93" s="444"/>
      <c r="M93" s="444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C93" s="263"/>
      <c r="AD93" s="263"/>
      <c r="AE93" s="263"/>
      <c r="AF93" s="263"/>
      <c r="AG93" s="263"/>
    </row>
    <row r="94" spans="1:33" s="136" customFormat="1" ht="20.100000000000001" customHeight="1" x14ac:dyDescent="0.25">
      <c r="A94" s="447" t="s">
        <v>155</v>
      </c>
      <c r="B94" s="447"/>
      <c r="C94" s="448"/>
      <c r="D94" s="448"/>
      <c r="E94" s="448"/>
      <c r="F94" s="448"/>
      <c r="G94" s="448"/>
      <c r="H94" s="448"/>
      <c r="I94" s="448"/>
      <c r="J94" s="448"/>
      <c r="K94" s="444"/>
      <c r="L94" s="444"/>
      <c r="M94" s="444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C94" s="263"/>
      <c r="AD94" s="263"/>
      <c r="AE94" s="263"/>
      <c r="AF94" s="263"/>
      <c r="AG94" s="263"/>
    </row>
    <row r="95" spans="1:33" s="136" customFormat="1" ht="58.2" customHeight="1" x14ac:dyDescent="0.25">
      <c r="A95" s="449" t="s">
        <v>151</v>
      </c>
      <c r="B95" s="177" t="str">
        <f>IF(OR(A$70=1,A$70=2,AND(A$70&gt;4,A$70&lt;10)),IF(AND(X$13&lt;&gt;"Yes"),MIN(550000,ROUND(E$7*0.6,0)),MIN((N(E95)+N(H95)),ROUND(E$7*0.84,0))),"N/A")</f>
        <v>N/A</v>
      </c>
      <c r="C95" s="176" t="str">
        <f>IF(OR(A$70=1,A$70=2,AND(A$70&gt;4,A$70&lt;10)),IF(OR(B95&lt;C33+C49,F95="No",I95="No"),"No","Yes"),"N/A")</f>
        <v>N/A</v>
      </c>
      <c r="D95" s="177" t="str">
        <f>IF(C95="No",MAX(C33+C49-B95,IF(G95="N/A",0,G95)+IF(J95="N/A",0,J95)+IF(M95="N/A",0,M95)),"N/A")</f>
        <v>N/A</v>
      </c>
      <c r="E95" s="133" t="str">
        <f>IF(OR(A$70=1,A$70=2,AND(A$70&gt;4,A$70&lt;10)),MIN(550000,ROUND(E7*0.6,0)),"N/A")</f>
        <v>N/A</v>
      </c>
      <c r="F95" s="178" t="str">
        <f>IF(OR(A$70=1,A$70=2,AND(A$70&gt;4,A$70&lt;10)),IF(E95&gt;=E$17,"Yes","No"),"N/A")</f>
        <v>N/A</v>
      </c>
      <c r="G95" s="179" t="str">
        <f>IF($F95="No",E17-E95,"N/A")</f>
        <v>N/A</v>
      </c>
      <c r="H95" s="133" t="str">
        <f>IF(OR(A$70=1,A$70=2,AND(A$70&gt;4,A$70&lt;10)),
IF(X13="Yes",MIN(ROUND(E$7*F$9,0),ROUND(MAX(84%*$E$7-MIN(E95,E41),0),0)),"N/A"),"N/A")</f>
        <v>N/A</v>
      </c>
      <c r="I95" s="179" t="str">
        <f>IF(OR(A$70=1,A$70=2,AND(A$70&gt;4,A$70&lt;10)),IF(X13="Yes",IF(H95&gt;=(X14),"Yes","No"),"N/A"),"N/A")</f>
        <v>N/A</v>
      </c>
      <c r="J95" s="180" t="str">
        <f>IF(I95="No",X14-H95,"N/A")</f>
        <v>N/A</v>
      </c>
      <c r="K95" s="444"/>
      <c r="L95" s="444"/>
      <c r="M95" s="444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C95" s="263"/>
      <c r="AD95" s="263"/>
      <c r="AE95" s="263"/>
      <c r="AF95" s="263"/>
      <c r="AG95" s="263"/>
    </row>
    <row r="96" spans="1:33" s="136" customFormat="1" ht="20.100000000000001" customHeight="1" x14ac:dyDescent="0.25">
      <c r="A96" s="447" t="s">
        <v>154</v>
      </c>
      <c r="B96" s="447"/>
      <c r="C96" s="448"/>
      <c r="D96" s="448"/>
      <c r="E96" s="448"/>
      <c r="F96" s="448"/>
      <c r="G96" s="448"/>
      <c r="H96" s="448"/>
      <c r="I96" s="448"/>
      <c r="J96" s="448"/>
      <c r="K96" s="444"/>
      <c r="L96" s="444"/>
      <c r="M96" s="444"/>
      <c r="O96" s="263"/>
      <c r="P96" s="263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C96" s="263"/>
      <c r="AD96" s="263"/>
      <c r="AE96" s="263"/>
      <c r="AF96" s="263"/>
      <c r="AG96" s="263"/>
    </row>
    <row r="97" spans="1:43" s="136" customFormat="1" ht="58.2" customHeight="1" x14ac:dyDescent="0.25">
      <c r="A97" s="450" t="s">
        <v>152</v>
      </c>
      <c r="B97" s="177" t="str">
        <f>IF(AND(A$70&gt;9,A$70&lt;18),IF(AND(X$13&lt;&gt;"Yes"),MIN(750000,ROUND(E$7*60%,0)),MIN((N(E97)+N(H97)),ROUND(E$7*84%,0))),"N/A")</f>
        <v>N/A</v>
      </c>
      <c r="C97" s="176" t="str">
        <f>IF(AND(A$70&gt;9,A$70&lt;18),IF(OR(B97&lt;C$33+C$49,F97="No",I97="No"),"No","Yes"),"N/A")</f>
        <v>N/A</v>
      </c>
      <c r="D97" s="177" t="str">
        <f>IF(C97="No",MAX(C$33+C$49-B97,IF(G97="N/A",0,G97)+IF(J97="N/A",0,J97)),"N/A")</f>
        <v>N/A</v>
      </c>
      <c r="E97" s="177" t="str">
        <f>IF(AND(A$70&gt;9,A$70&lt;18),MIN(750000,ROUND(E$7*0.6,0)),"N/A")</f>
        <v>N/A</v>
      </c>
      <c r="F97" s="176" t="str">
        <f>IF(AND(A$70&gt;9,A$70&lt;18),IF(E97&gt;=E$17,"Yes","No"),"N/A")</f>
        <v>N/A</v>
      </c>
      <c r="G97" s="180" t="str">
        <f>IF(F97="No",E$17-E97,"N/A")</f>
        <v>N/A</v>
      </c>
      <c r="H97" s="177" t="str">
        <f>IF(AND(A$70&gt;9,A$70&lt;18),
IF(X13="Yes",MIN(ROUND(E$7*F$9,0),ROUND(MAX(84%*$E$7-MIN(E97,E41),0),0)),"N/A"),"N/A")</f>
        <v>N/A</v>
      </c>
      <c r="I97" s="180" t="str">
        <f>IF(AND(A$70&gt;9,A$70&lt;18),IF(X$13="Yes",IF(H97&gt;=X$14,"Yes","No"),"N/A"),"N/A")</f>
        <v>N/A</v>
      </c>
      <c r="J97" s="180" t="str">
        <f>IF(I97="No",X$14-H97,"N/A")</f>
        <v>N/A</v>
      </c>
      <c r="K97" s="263"/>
      <c r="L97" s="263"/>
      <c r="M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C97" s="263"/>
      <c r="AD97" s="263"/>
      <c r="AE97" s="263"/>
      <c r="AF97" s="263"/>
      <c r="AG97" s="263"/>
    </row>
    <row r="98" spans="1:43" s="136" customFormat="1" ht="20.100000000000001" customHeight="1" x14ac:dyDescent="0.25">
      <c r="A98" s="447" t="s">
        <v>156</v>
      </c>
      <c r="B98" s="447"/>
      <c r="C98" s="448"/>
      <c r="D98" s="448"/>
      <c r="E98" s="448"/>
      <c r="F98" s="448"/>
      <c r="G98" s="448"/>
      <c r="H98" s="448"/>
      <c r="I98" s="448"/>
      <c r="J98" s="448"/>
      <c r="K98" s="263"/>
      <c r="L98" s="263"/>
      <c r="M98" s="263"/>
      <c r="O98" s="263"/>
    </row>
    <row r="99" spans="1:43" s="136" customFormat="1" ht="58.2" customHeight="1" x14ac:dyDescent="0.25">
      <c r="A99" s="450" t="s">
        <v>152</v>
      </c>
      <c r="B99" s="177" t="str">
        <f>IF(OR(A$70=18,A$70=19,A$70=3,A$70=4),IF(AND(X$13&lt;&gt;"Yes"),MIN(750000,ROUND(E$7*60%,0)),MIN((N(E99)+N(H99)),ROUND(E$7*84%,0))),"N/A")</f>
        <v>N/A</v>
      </c>
      <c r="C99" s="176" t="str">
        <f>IF(OR(A$70=18,A$70=19,A$70=3,A$70=4),IF(OR(B99&lt;C$33+C$49,F99="No",I99="No",L99="No"),"No","Yes"),"N/A")</f>
        <v>N/A</v>
      </c>
      <c r="D99" s="177" t="str">
        <f>IF(C99="No",MAX(C$33+C$49-B99,IF(G99="N/A",0,G99)+IF(J99="N/A",0,J99)+IF(M99="N/A",0,M99)),"N/A")</f>
        <v>N/A</v>
      </c>
      <c r="E99" s="177" t="str">
        <f>IF(OR(A$70=18,A$70=19,A$70=3,A$70=4),MIN(750000,ROUND(E$7*0.6,0)),"N/A")</f>
        <v>N/A</v>
      </c>
      <c r="F99" s="176" t="str">
        <f>IF(OR(A$70=18,A$70=19,A$70=3,A$70=4),IF(E99&gt;=E$17,"Yes","No"),"N/A")</f>
        <v>N/A</v>
      </c>
      <c r="G99" s="180" t="str">
        <f>IF(F99="No",E$17-E99,"N/A")</f>
        <v>N/A</v>
      </c>
      <c r="H99" s="177" t="str">
        <f>IF(OR(A$70=18,A$70=19,A$70=3,A$70=4),
IF(X13="Yes",MIN(ROUND(E$7*F$9,0),ROUND(MAX(84%*$E$7-MIN(E99,E41),0),0)),"N/A"),"N/A")</f>
        <v>N/A</v>
      </c>
      <c r="I99" s="180" t="str">
        <f>IF(OR(A$70=18,A$70=19,A$70=3,A$70=4),IF(X$13="Yes",IF(H99&gt;=X$14,"Yes","No"),"N/A"),"N/A")</f>
        <v>N/A</v>
      </c>
      <c r="J99" s="180" t="str">
        <f>IF(I99="No",X$14-H99,"N/A")</f>
        <v>N/A</v>
      </c>
      <c r="K99" s="263"/>
      <c r="L99" s="263"/>
      <c r="M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C99" s="263"/>
      <c r="AD99" s="263"/>
      <c r="AE99" s="263"/>
      <c r="AF99" s="263"/>
      <c r="AG99" s="263"/>
    </row>
    <row r="100" spans="1:43" s="136" customFormat="1" ht="20.100000000000001" customHeight="1" x14ac:dyDescent="0.25">
      <c r="A100" s="269"/>
      <c r="B100" s="451"/>
      <c r="C100" s="269"/>
      <c r="D100" s="269"/>
      <c r="E100" s="269"/>
      <c r="F100" s="269"/>
      <c r="G100" s="269"/>
      <c r="H100" s="269"/>
      <c r="I100" s="269"/>
      <c r="J100" s="269"/>
      <c r="K100" s="263"/>
      <c r="L100" s="263"/>
      <c r="M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C100" s="263"/>
      <c r="AD100" s="263"/>
      <c r="AE100" s="263"/>
      <c r="AF100" s="263"/>
      <c r="AG100" s="263"/>
    </row>
    <row r="102" spans="1:43" s="187" customFormat="1" ht="15.6" x14ac:dyDescent="0.3">
      <c r="A102" s="185"/>
      <c r="B102" s="186"/>
      <c r="C102" s="185"/>
      <c r="D102" s="185"/>
      <c r="E102" s="185"/>
      <c r="F102" s="185"/>
      <c r="G102" s="263"/>
      <c r="H102" s="185"/>
      <c r="I102" s="185"/>
      <c r="J102" s="185"/>
      <c r="K102" s="185"/>
      <c r="L102" s="185"/>
      <c r="M102" s="185"/>
      <c r="N102" s="185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C102" s="263"/>
      <c r="AD102" s="263"/>
      <c r="AE102" s="263"/>
      <c r="AF102" s="263"/>
      <c r="AG102" s="263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</row>
    <row r="103" spans="1:43" s="187" customFormat="1" ht="15.6" x14ac:dyDescent="0.3">
      <c r="G103" s="263"/>
      <c r="H103" s="185"/>
      <c r="I103" s="185"/>
      <c r="J103" s="185"/>
      <c r="K103" s="185"/>
      <c r="L103" s="185"/>
      <c r="M103" s="185"/>
      <c r="N103" s="185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C103" s="263"/>
      <c r="AD103" s="263"/>
      <c r="AE103" s="263"/>
      <c r="AF103" s="263"/>
      <c r="AG103" s="263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</row>
    <row r="104" spans="1:43" s="187" customFormat="1" ht="15.6" x14ac:dyDescent="0.3">
      <c r="G104" s="263"/>
      <c r="H104" s="185"/>
      <c r="I104" s="185"/>
      <c r="J104" s="185"/>
      <c r="K104" s="185"/>
      <c r="L104" s="185"/>
      <c r="M104" s="185"/>
      <c r="N104" s="185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C104" s="263"/>
      <c r="AD104" s="263"/>
      <c r="AE104" s="263"/>
      <c r="AF104" s="263"/>
      <c r="AG104" s="263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</row>
    <row r="105" spans="1:43" s="187" customFormat="1" ht="15.6" x14ac:dyDescent="0.3">
      <c r="G105" s="263"/>
      <c r="H105" s="185"/>
      <c r="I105" s="185"/>
      <c r="J105" s="185"/>
      <c r="K105" s="185"/>
      <c r="L105" s="185"/>
      <c r="M105" s="185"/>
      <c r="N105" s="185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C105" s="263"/>
      <c r="AD105" s="263"/>
      <c r="AE105" s="263"/>
      <c r="AF105" s="263"/>
      <c r="AG105" s="263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</row>
    <row r="106" spans="1:43" s="187" customFormat="1" ht="15.6" x14ac:dyDescent="0.3">
      <c r="A106" s="185"/>
      <c r="B106" s="186"/>
      <c r="C106" s="185"/>
      <c r="D106" s="185"/>
      <c r="E106" s="185"/>
      <c r="F106" s="185"/>
      <c r="G106" s="263"/>
      <c r="H106" s="185"/>
      <c r="I106" s="185"/>
      <c r="J106" s="185"/>
      <c r="K106" s="185"/>
      <c r="L106" s="185"/>
      <c r="M106" s="185"/>
      <c r="N106" s="185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C106" s="263"/>
      <c r="AD106" s="263"/>
      <c r="AE106" s="263"/>
      <c r="AF106" s="263"/>
      <c r="AG106" s="263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</row>
    <row r="107" spans="1:43" s="187" customFormat="1" ht="15.6" x14ac:dyDescent="0.3">
      <c r="A107" s="185"/>
      <c r="B107" s="186"/>
      <c r="C107" s="185"/>
      <c r="D107" s="185"/>
      <c r="E107" s="185"/>
      <c r="F107" s="185"/>
      <c r="G107" s="263"/>
      <c r="H107" s="185"/>
      <c r="I107" s="185"/>
      <c r="J107" s="185"/>
      <c r="K107" s="185"/>
      <c r="L107" s="185"/>
      <c r="M107" s="185"/>
      <c r="N107" s="185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C107" s="263"/>
      <c r="AD107" s="263"/>
      <c r="AE107" s="263"/>
      <c r="AF107" s="263"/>
      <c r="AG107" s="263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</row>
    <row r="108" spans="1:43" s="187" customFormat="1" ht="15.6" x14ac:dyDescent="0.3">
      <c r="A108" s="185"/>
      <c r="B108" s="186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C108" s="263"/>
      <c r="AD108" s="263"/>
      <c r="AE108" s="263"/>
      <c r="AF108" s="263"/>
      <c r="AG108" s="263"/>
      <c r="AH108" s="185"/>
      <c r="AI108" s="185"/>
      <c r="AJ108" s="185"/>
      <c r="AK108" s="185"/>
      <c r="AL108" s="185"/>
      <c r="AM108" s="185"/>
      <c r="AN108" s="185"/>
      <c r="AO108" s="185"/>
      <c r="AP108" s="185"/>
      <c r="AQ108" s="185"/>
    </row>
    <row r="109" spans="1:43" s="187" customFormat="1" ht="15.6" x14ac:dyDescent="0.3">
      <c r="A109" s="185"/>
      <c r="B109" s="186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C109" s="263"/>
      <c r="AD109" s="263"/>
      <c r="AE109" s="263"/>
      <c r="AF109" s="263"/>
      <c r="AG109" s="263"/>
      <c r="AH109" s="185"/>
      <c r="AI109" s="185"/>
      <c r="AJ109" s="185"/>
      <c r="AK109" s="185"/>
      <c r="AL109" s="185"/>
      <c r="AM109" s="185"/>
      <c r="AN109" s="185"/>
      <c r="AO109" s="185"/>
      <c r="AP109" s="185"/>
      <c r="AQ109" s="185"/>
    </row>
    <row r="110" spans="1:43" s="187" customFormat="1" ht="15.6" x14ac:dyDescent="0.3">
      <c r="A110" s="185"/>
      <c r="B110" s="186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C110" s="263"/>
      <c r="AD110" s="263"/>
      <c r="AE110" s="263"/>
      <c r="AF110" s="263"/>
      <c r="AG110" s="263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85"/>
    </row>
    <row r="111" spans="1:43" s="187" customFormat="1" ht="15.6" x14ac:dyDescent="0.3">
      <c r="A111" s="185"/>
      <c r="B111" s="186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3"/>
      <c r="AC111" s="263"/>
      <c r="AD111" s="263"/>
      <c r="AE111" s="263"/>
      <c r="AF111" s="263"/>
      <c r="AG111" s="263"/>
      <c r="AH111" s="185"/>
      <c r="AI111" s="185"/>
      <c r="AJ111" s="185"/>
      <c r="AK111" s="185"/>
      <c r="AL111" s="185"/>
      <c r="AM111" s="185"/>
      <c r="AN111" s="185"/>
      <c r="AO111" s="185"/>
      <c r="AP111" s="185"/>
      <c r="AQ111" s="185"/>
    </row>
    <row r="112" spans="1:43" s="187" customFormat="1" ht="15.6" x14ac:dyDescent="0.3">
      <c r="A112" s="185"/>
      <c r="B112" s="186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C112" s="263"/>
      <c r="AD112" s="263"/>
      <c r="AE112" s="263"/>
      <c r="AF112" s="263"/>
      <c r="AG112" s="263"/>
      <c r="AH112" s="185"/>
      <c r="AI112" s="185"/>
      <c r="AJ112" s="185"/>
      <c r="AK112" s="185"/>
      <c r="AL112" s="185"/>
      <c r="AM112" s="185"/>
      <c r="AN112" s="185"/>
      <c r="AO112" s="185"/>
      <c r="AP112" s="185"/>
      <c r="AQ112" s="185"/>
    </row>
    <row r="113" spans="1:43" s="187" customFormat="1" ht="15.6" x14ac:dyDescent="0.3">
      <c r="A113" s="185"/>
      <c r="B113" s="186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C113" s="263"/>
      <c r="AD113" s="263"/>
      <c r="AE113" s="263"/>
      <c r="AF113" s="263"/>
      <c r="AG113" s="263"/>
      <c r="AH113" s="185"/>
      <c r="AI113" s="185"/>
      <c r="AJ113" s="185"/>
      <c r="AK113" s="185"/>
      <c r="AL113" s="185"/>
      <c r="AM113" s="185"/>
      <c r="AN113" s="185"/>
      <c r="AO113" s="185"/>
      <c r="AP113" s="185"/>
      <c r="AQ113" s="185"/>
    </row>
    <row r="114" spans="1:43" s="187" customFormat="1" ht="15.6" x14ac:dyDescent="0.3">
      <c r="A114" s="185"/>
      <c r="B114" s="186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3"/>
      <c r="AC114" s="263"/>
      <c r="AD114" s="263"/>
      <c r="AE114" s="263"/>
      <c r="AF114" s="263"/>
      <c r="AG114" s="263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</row>
    <row r="115" spans="1:43" s="187" customFormat="1" ht="15.6" x14ac:dyDescent="0.3">
      <c r="A115" s="185"/>
      <c r="B115" s="186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C115" s="263"/>
      <c r="AD115" s="263"/>
      <c r="AE115" s="263"/>
      <c r="AF115" s="263"/>
      <c r="AG115" s="263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</row>
    <row r="116" spans="1:43" s="187" customFormat="1" ht="15.6" x14ac:dyDescent="0.3">
      <c r="A116" s="185"/>
      <c r="B116" s="186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263"/>
      <c r="P116" s="263"/>
      <c r="Q116" s="263"/>
      <c r="R116" s="263"/>
      <c r="S116" s="263"/>
      <c r="T116" s="263"/>
      <c r="U116" s="263"/>
      <c r="V116" s="263"/>
      <c r="W116" s="263"/>
      <c r="X116" s="263"/>
      <c r="Y116" s="263"/>
      <c r="Z116" s="263"/>
      <c r="AC116" s="263"/>
      <c r="AD116" s="263"/>
      <c r="AE116" s="263"/>
      <c r="AF116" s="263"/>
      <c r="AG116" s="263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</row>
    <row r="117" spans="1:43" s="187" customFormat="1" ht="15.6" x14ac:dyDescent="0.3">
      <c r="A117" s="185"/>
      <c r="B117" s="186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3"/>
      <c r="AC117" s="263"/>
      <c r="AD117" s="263"/>
      <c r="AE117" s="263"/>
      <c r="AF117" s="263"/>
      <c r="AG117" s="263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</row>
    <row r="118" spans="1:43" s="187" customFormat="1" ht="15.6" x14ac:dyDescent="0.3">
      <c r="A118" s="185"/>
      <c r="B118" s="186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63"/>
      <c r="AC118" s="263"/>
      <c r="AD118" s="263"/>
      <c r="AE118" s="263"/>
      <c r="AF118" s="263"/>
      <c r="AG118" s="263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</row>
    <row r="119" spans="1:43" s="187" customFormat="1" ht="15.6" x14ac:dyDescent="0.3">
      <c r="A119" s="185"/>
      <c r="B119" s="186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  <c r="Z119" s="263"/>
      <c r="AC119" s="263"/>
      <c r="AD119" s="263"/>
      <c r="AE119" s="263"/>
      <c r="AF119" s="263"/>
      <c r="AG119" s="263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</row>
    <row r="120" spans="1:43" s="187" customFormat="1" ht="15.6" x14ac:dyDescent="0.3">
      <c r="A120" s="185"/>
      <c r="B120" s="186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  <c r="Z120" s="263"/>
      <c r="AC120" s="263"/>
      <c r="AD120" s="263"/>
      <c r="AE120" s="263"/>
      <c r="AF120" s="263"/>
      <c r="AG120" s="263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</row>
    <row r="121" spans="1:43" s="187" customFormat="1" ht="15.6" x14ac:dyDescent="0.3">
      <c r="A121" s="185"/>
      <c r="B121" s="186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3"/>
      <c r="AC121" s="263"/>
      <c r="AD121" s="263"/>
      <c r="AE121" s="263"/>
      <c r="AF121" s="263"/>
      <c r="AG121" s="263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</row>
    <row r="122" spans="1:43" s="187" customFormat="1" ht="15.6" x14ac:dyDescent="0.3">
      <c r="A122" s="185"/>
      <c r="B122" s="186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63"/>
      <c r="AC122" s="263"/>
      <c r="AD122" s="263"/>
      <c r="AE122" s="263"/>
      <c r="AF122" s="263"/>
      <c r="AG122" s="263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</row>
    <row r="123" spans="1:43" s="187" customFormat="1" ht="15.6" x14ac:dyDescent="0.3">
      <c r="A123" s="185"/>
      <c r="B123" s="186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C123" s="263"/>
      <c r="AD123" s="263"/>
      <c r="AE123" s="263"/>
      <c r="AF123" s="263"/>
      <c r="AG123" s="263"/>
      <c r="AH123" s="185"/>
      <c r="AI123" s="185"/>
      <c r="AJ123" s="185"/>
      <c r="AK123" s="185"/>
      <c r="AL123" s="185"/>
      <c r="AM123" s="185"/>
      <c r="AN123" s="185"/>
      <c r="AO123" s="185"/>
      <c r="AP123" s="185"/>
      <c r="AQ123" s="185"/>
    </row>
    <row r="124" spans="1:43" s="187" customFormat="1" ht="15.6" x14ac:dyDescent="0.3">
      <c r="A124" s="185"/>
      <c r="B124" s="186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C124" s="263"/>
      <c r="AD124" s="263"/>
      <c r="AE124" s="263"/>
      <c r="AF124" s="263"/>
      <c r="AG124" s="263"/>
      <c r="AH124" s="185"/>
      <c r="AI124" s="185"/>
      <c r="AJ124" s="185"/>
      <c r="AK124" s="185"/>
      <c r="AL124" s="185"/>
      <c r="AM124" s="185"/>
      <c r="AN124" s="185"/>
      <c r="AO124" s="185"/>
      <c r="AP124" s="185"/>
      <c r="AQ124" s="185"/>
    </row>
    <row r="125" spans="1:43" s="187" customFormat="1" ht="15.6" x14ac:dyDescent="0.3">
      <c r="A125" s="185"/>
      <c r="B125" s="186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263"/>
      <c r="P125" s="263"/>
      <c r="Q125" s="263"/>
      <c r="R125" s="263"/>
      <c r="S125" s="263"/>
      <c r="T125" s="263"/>
      <c r="U125" s="263"/>
      <c r="V125" s="263"/>
      <c r="W125" s="263"/>
      <c r="X125" s="263"/>
      <c r="Y125" s="263"/>
      <c r="Z125" s="263"/>
      <c r="AC125" s="263"/>
      <c r="AD125" s="263"/>
      <c r="AE125" s="263"/>
      <c r="AF125" s="263"/>
      <c r="AG125" s="263"/>
      <c r="AH125" s="185"/>
      <c r="AI125" s="185"/>
      <c r="AJ125" s="185"/>
      <c r="AK125" s="185"/>
      <c r="AL125" s="185"/>
      <c r="AM125" s="185"/>
      <c r="AN125" s="185"/>
      <c r="AO125" s="185"/>
      <c r="AP125" s="185"/>
      <c r="AQ125" s="185"/>
    </row>
    <row r="126" spans="1:43" s="187" customFormat="1" ht="15.6" x14ac:dyDescent="0.3">
      <c r="A126" s="185"/>
      <c r="B126" s="186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263"/>
      <c r="P126" s="263"/>
      <c r="Q126" s="263"/>
      <c r="R126" s="263"/>
      <c r="S126" s="263"/>
      <c r="T126" s="263"/>
      <c r="U126" s="263"/>
      <c r="V126" s="263"/>
      <c r="W126" s="263"/>
      <c r="X126" s="263"/>
      <c r="Y126" s="263"/>
      <c r="Z126" s="263"/>
      <c r="AC126" s="263"/>
      <c r="AD126" s="263"/>
      <c r="AE126" s="263"/>
      <c r="AF126" s="263"/>
      <c r="AG126" s="263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</row>
    <row r="127" spans="1:43" s="187" customFormat="1" ht="15.6" x14ac:dyDescent="0.3">
      <c r="A127" s="185"/>
      <c r="B127" s="186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263"/>
      <c r="P127" s="263"/>
      <c r="Q127" s="263"/>
      <c r="R127" s="263"/>
      <c r="S127" s="263"/>
      <c r="T127" s="263"/>
      <c r="U127" s="263"/>
      <c r="V127" s="263"/>
      <c r="W127" s="263"/>
      <c r="X127" s="263"/>
      <c r="Y127" s="263"/>
      <c r="Z127" s="263"/>
      <c r="AC127" s="263"/>
      <c r="AD127" s="263"/>
      <c r="AE127" s="263"/>
      <c r="AF127" s="263"/>
      <c r="AG127" s="263"/>
      <c r="AH127" s="185"/>
      <c r="AI127" s="185"/>
      <c r="AJ127" s="185"/>
      <c r="AK127" s="185"/>
      <c r="AL127" s="185"/>
      <c r="AM127" s="185"/>
      <c r="AN127" s="185"/>
      <c r="AO127" s="185"/>
      <c r="AP127" s="185"/>
      <c r="AQ127" s="185"/>
    </row>
    <row r="128" spans="1:43" s="187" customFormat="1" ht="15.6" x14ac:dyDescent="0.3">
      <c r="A128" s="185"/>
      <c r="B128" s="186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263"/>
      <c r="P128" s="263"/>
      <c r="Q128" s="263"/>
      <c r="R128" s="263"/>
      <c r="S128" s="263"/>
      <c r="T128" s="263"/>
      <c r="U128" s="263"/>
      <c r="V128" s="263"/>
      <c r="W128" s="263"/>
      <c r="X128" s="263"/>
      <c r="Y128" s="263"/>
      <c r="Z128" s="263"/>
      <c r="AC128" s="263"/>
      <c r="AD128" s="263"/>
      <c r="AE128" s="263"/>
      <c r="AF128" s="263"/>
      <c r="AG128" s="263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</row>
    <row r="129" spans="1:43" s="187" customFormat="1" ht="15.6" x14ac:dyDescent="0.3">
      <c r="A129" s="185"/>
      <c r="B129" s="186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263"/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63"/>
      <c r="AC129" s="263"/>
      <c r="AD129" s="263"/>
      <c r="AE129" s="263"/>
      <c r="AF129" s="263"/>
      <c r="AG129" s="263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</row>
    <row r="130" spans="1:43" s="187" customFormat="1" ht="15.6" x14ac:dyDescent="0.3">
      <c r="A130" s="185"/>
      <c r="B130" s="186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263"/>
      <c r="P130" s="263"/>
      <c r="Q130" s="263"/>
      <c r="R130" s="263"/>
      <c r="S130" s="263"/>
      <c r="T130" s="263"/>
      <c r="U130" s="263"/>
      <c r="V130" s="263"/>
      <c r="W130" s="263"/>
      <c r="X130" s="263"/>
      <c r="Y130" s="263"/>
      <c r="Z130" s="263"/>
      <c r="AC130" s="263"/>
      <c r="AD130" s="263"/>
      <c r="AE130" s="263"/>
      <c r="AF130" s="263"/>
      <c r="AG130" s="263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</row>
    <row r="131" spans="1:43" s="187" customFormat="1" ht="15.6" x14ac:dyDescent="0.3">
      <c r="A131" s="185"/>
      <c r="B131" s="186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63"/>
      <c r="AC131" s="263"/>
      <c r="AD131" s="263"/>
      <c r="AE131" s="263"/>
      <c r="AF131" s="263"/>
      <c r="AG131" s="263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</row>
    <row r="132" spans="1:43" s="187" customFormat="1" ht="15.6" x14ac:dyDescent="0.3">
      <c r="A132" s="185"/>
      <c r="B132" s="186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263"/>
      <c r="P132" s="263"/>
      <c r="Q132" s="263"/>
      <c r="R132" s="263"/>
      <c r="S132" s="263"/>
      <c r="T132" s="263"/>
      <c r="U132" s="263"/>
      <c r="V132" s="263"/>
      <c r="W132" s="263"/>
      <c r="X132" s="263"/>
      <c r="Y132" s="263"/>
      <c r="Z132" s="263"/>
      <c r="AC132" s="263"/>
      <c r="AD132" s="263"/>
      <c r="AE132" s="263"/>
      <c r="AF132" s="263"/>
      <c r="AG132" s="263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</row>
    <row r="133" spans="1:43" s="187" customFormat="1" ht="15.6" x14ac:dyDescent="0.3">
      <c r="A133" s="185"/>
      <c r="B133" s="186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263"/>
      <c r="P133" s="263"/>
      <c r="Q133" s="263"/>
      <c r="R133" s="263"/>
      <c r="S133" s="263"/>
      <c r="T133" s="263"/>
      <c r="U133" s="263"/>
      <c r="V133" s="263"/>
      <c r="W133" s="263"/>
      <c r="X133" s="263"/>
      <c r="Y133" s="263"/>
      <c r="Z133" s="263"/>
      <c r="AC133" s="263"/>
      <c r="AD133" s="263"/>
      <c r="AE133" s="263"/>
      <c r="AF133" s="263"/>
      <c r="AG133" s="263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</row>
    <row r="134" spans="1:43" s="187" customFormat="1" ht="15.6" x14ac:dyDescent="0.3">
      <c r="A134" s="185"/>
      <c r="B134" s="186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63"/>
      <c r="AC134" s="263"/>
      <c r="AD134" s="263"/>
      <c r="AE134" s="263"/>
      <c r="AF134" s="263"/>
      <c r="AG134" s="263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</row>
    <row r="135" spans="1:43" s="187" customFormat="1" ht="15.6" x14ac:dyDescent="0.3">
      <c r="A135" s="185"/>
      <c r="B135" s="186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263"/>
      <c r="P135" s="263"/>
      <c r="Q135" s="263"/>
      <c r="R135" s="263"/>
      <c r="S135" s="263"/>
      <c r="T135" s="263"/>
      <c r="U135" s="263"/>
      <c r="V135" s="263"/>
      <c r="W135" s="263"/>
      <c r="X135" s="263"/>
      <c r="Y135" s="263"/>
      <c r="Z135" s="263"/>
      <c r="AC135" s="263"/>
      <c r="AD135" s="263"/>
      <c r="AE135" s="263"/>
      <c r="AF135" s="263"/>
      <c r="AG135" s="263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</row>
    <row r="136" spans="1:43" s="187" customFormat="1" ht="15.6" x14ac:dyDescent="0.3">
      <c r="A136" s="185"/>
      <c r="B136" s="186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263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63"/>
      <c r="AC136" s="263"/>
      <c r="AD136" s="263"/>
      <c r="AE136" s="263"/>
      <c r="AF136" s="263"/>
      <c r="AG136" s="263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</row>
    <row r="137" spans="1:43" s="187" customFormat="1" ht="15.6" x14ac:dyDescent="0.3">
      <c r="A137" s="185"/>
      <c r="B137" s="186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263"/>
      <c r="P137" s="263"/>
      <c r="Q137" s="263"/>
      <c r="R137" s="263"/>
      <c r="S137" s="263"/>
      <c r="T137" s="263"/>
      <c r="U137" s="263"/>
      <c r="V137" s="263"/>
      <c r="W137" s="263"/>
      <c r="X137" s="263"/>
      <c r="Y137" s="263"/>
      <c r="Z137" s="263"/>
      <c r="AC137" s="263"/>
      <c r="AD137" s="263"/>
      <c r="AE137" s="263"/>
      <c r="AF137" s="263"/>
      <c r="AG137" s="263"/>
      <c r="AH137" s="185"/>
      <c r="AI137" s="185"/>
      <c r="AJ137" s="185"/>
      <c r="AK137" s="185"/>
      <c r="AL137" s="185"/>
      <c r="AM137" s="185"/>
      <c r="AN137" s="185"/>
      <c r="AO137" s="185"/>
      <c r="AP137" s="185"/>
      <c r="AQ137" s="185"/>
    </row>
    <row r="138" spans="1:43" s="187" customFormat="1" ht="15.6" x14ac:dyDescent="0.3">
      <c r="A138" s="185"/>
      <c r="B138" s="186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263"/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  <c r="Z138" s="263"/>
      <c r="AC138" s="263"/>
      <c r="AD138" s="263"/>
      <c r="AE138" s="263"/>
      <c r="AF138" s="263"/>
      <c r="AG138" s="263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</row>
    <row r="139" spans="1:43" s="187" customFormat="1" ht="15.6" x14ac:dyDescent="0.3">
      <c r="A139" s="185"/>
      <c r="B139" s="186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C139" s="263"/>
      <c r="AD139" s="263"/>
      <c r="AE139" s="263"/>
      <c r="AF139" s="263"/>
      <c r="AG139" s="263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</row>
    <row r="140" spans="1:43" s="187" customFormat="1" ht="15.6" x14ac:dyDescent="0.3">
      <c r="A140" s="185"/>
      <c r="B140" s="186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263"/>
      <c r="P140" s="263"/>
      <c r="Q140" s="263"/>
      <c r="R140" s="263"/>
      <c r="S140" s="263"/>
      <c r="T140" s="263"/>
      <c r="U140" s="263"/>
      <c r="V140" s="263"/>
      <c r="W140" s="263"/>
      <c r="X140" s="263"/>
      <c r="Y140" s="263"/>
      <c r="Z140" s="263"/>
      <c r="AC140" s="263"/>
      <c r="AD140" s="263"/>
      <c r="AE140" s="263"/>
      <c r="AF140" s="263"/>
      <c r="AG140" s="263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</row>
    <row r="141" spans="1:43" s="187" customFormat="1" ht="15.6" x14ac:dyDescent="0.3">
      <c r="A141" s="185"/>
      <c r="B141" s="186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3"/>
      <c r="Z141" s="263"/>
      <c r="AC141" s="263"/>
      <c r="AD141" s="263"/>
      <c r="AE141" s="263"/>
      <c r="AF141" s="263"/>
      <c r="AG141" s="263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</row>
    <row r="142" spans="1:43" s="187" customFormat="1" ht="15.6" x14ac:dyDescent="0.3">
      <c r="A142" s="185"/>
      <c r="B142" s="186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263"/>
      <c r="P142" s="263"/>
      <c r="Q142" s="263"/>
      <c r="R142" s="263"/>
      <c r="S142" s="263"/>
      <c r="T142" s="263"/>
      <c r="U142" s="263"/>
      <c r="V142" s="263"/>
      <c r="W142" s="263"/>
      <c r="X142" s="263"/>
      <c r="Y142" s="263"/>
      <c r="Z142" s="263"/>
      <c r="AC142" s="263"/>
      <c r="AD142" s="263"/>
      <c r="AE142" s="263"/>
      <c r="AF142" s="263"/>
      <c r="AG142" s="263"/>
      <c r="AH142" s="185"/>
      <c r="AI142" s="185"/>
      <c r="AJ142" s="185"/>
      <c r="AK142" s="185"/>
      <c r="AL142" s="185"/>
      <c r="AM142" s="185"/>
      <c r="AN142" s="185"/>
      <c r="AO142" s="185"/>
      <c r="AP142" s="185"/>
      <c r="AQ142" s="185"/>
    </row>
    <row r="143" spans="1:43" s="187" customFormat="1" ht="15.6" x14ac:dyDescent="0.3">
      <c r="A143" s="185"/>
      <c r="B143" s="186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3"/>
      <c r="AC143" s="263"/>
      <c r="AD143" s="263"/>
      <c r="AE143" s="263"/>
      <c r="AF143" s="263"/>
      <c r="AG143" s="263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</row>
    <row r="144" spans="1:43" s="187" customFormat="1" ht="15.6" x14ac:dyDescent="0.3">
      <c r="A144" s="185"/>
      <c r="B144" s="186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63"/>
      <c r="AC144" s="263"/>
      <c r="AD144" s="263"/>
      <c r="AE144" s="263"/>
      <c r="AF144" s="263"/>
      <c r="AG144" s="263"/>
      <c r="AH144" s="185"/>
      <c r="AI144" s="185"/>
      <c r="AJ144" s="185"/>
      <c r="AK144" s="185"/>
      <c r="AL144" s="185"/>
      <c r="AM144" s="185"/>
      <c r="AN144" s="185"/>
      <c r="AO144" s="185"/>
      <c r="AP144" s="185"/>
      <c r="AQ144" s="185"/>
    </row>
    <row r="145" spans="1:43" s="187" customFormat="1" ht="15.6" x14ac:dyDescent="0.3">
      <c r="A145" s="185"/>
      <c r="B145" s="186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C145" s="263"/>
      <c r="AD145" s="263"/>
      <c r="AE145" s="263"/>
      <c r="AF145" s="263"/>
      <c r="AG145" s="263"/>
      <c r="AH145" s="185"/>
      <c r="AI145" s="185"/>
      <c r="AJ145" s="185"/>
      <c r="AK145" s="185"/>
      <c r="AL145" s="185"/>
      <c r="AM145" s="185"/>
      <c r="AN145" s="185"/>
      <c r="AO145" s="185"/>
      <c r="AP145" s="185"/>
      <c r="AQ145" s="185"/>
    </row>
    <row r="146" spans="1:43" s="187" customFormat="1" ht="15.6" x14ac:dyDescent="0.3">
      <c r="A146" s="185"/>
      <c r="B146" s="186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3"/>
      <c r="AC146" s="263"/>
      <c r="AD146" s="263"/>
      <c r="AE146" s="263"/>
      <c r="AF146" s="263"/>
      <c r="AG146" s="263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</row>
    <row r="147" spans="1:43" s="187" customFormat="1" ht="15.6" x14ac:dyDescent="0.3">
      <c r="A147" s="185"/>
      <c r="B147" s="186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3"/>
      <c r="AC147" s="263"/>
      <c r="AD147" s="263"/>
      <c r="AE147" s="263"/>
      <c r="AF147" s="263"/>
      <c r="AG147" s="263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</row>
    <row r="148" spans="1:43" s="187" customFormat="1" ht="15.6" x14ac:dyDescent="0.3">
      <c r="A148" s="185"/>
      <c r="B148" s="186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63"/>
      <c r="AC148" s="263"/>
      <c r="AD148" s="263"/>
      <c r="AE148" s="263"/>
      <c r="AF148" s="263"/>
      <c r="AG148" s="263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</row>
    <row r="149" spans="1:43" s="187" customFormat="1" ht="15.6" x14ac:dyDescent="0.3">
      <c r="A149" s="185"/>
      <c r="B149" s="186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263"/>
      <c r="P149" s="263"/>
      <c r="Q149" s="263"/>
      <c r="R149" s="263"/>
      <c r="S149" s="263"/>
      <c r="T149" s="263"/>
      <c r="U149" s="263"/>
      <c r="V149" s="263"/>
      <c r="W149" s="263"/>
      <c r="X149" s="263"/>
      <c r="Y149" s="263"/>
      <c r="Z149" s="263"/>
      <c r="AC149" s="263"/>
      <c r="AD149" s="263"/>
      <c r="AE149" s="263"/>
      <c r="AF149" s="263"/>
      <c r="AG149" s="263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</row>
    <row r="150" spans="1:43" s="187" customFormat="1" ht="15.6" x14ac:dyDescent="0.3">
      <c r="A150" s="185"/>
      <c r="B150" s="186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3"/>
      <c r="Z150" s="263"/>
      <c r="AC150" s="263"/>
      <c r="AD150" s="263"/>
      <c r="AE150" s="263"/>
      <c r="AF150" s="263"/>
      <c r="AG150" s="263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</row>
    <row r="151" spans="1:43" s="187" customFormat="1" ht="15.6" x14ac:dyDescent="0.3">
      <c r="A151" s="185"/>
      <c r="B151" s="186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263"/>
      <c r="P151" s="263"/>
      <c r="Q151" s="263"/>
      <c r="R151" s="263"/>
      <c r="S151" s="263"/>
      <c r="T151" s="263"/>
      <c r="U151" s="263"/>
      <c r="V151" s="263"/>
      <c r="W151" s="263"/>
      <c r="X151" s="263"/>
      <c r="Y151" s="263"/>
      <c r="Z151" s="263"/>
      <c r="AC151" s="263"/>
      <c r="AD151" s="263"/>
      <c r="AE151" s="263"/>
      <c r="AF151" s="263"/>
      <c r="AG151" s="263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</row>
    <row r="152" spans="1:43" s="187" customFormat="1" ht="15.6" x14ac:dyDescent="0.3">
      <c r="A152" s="185"/>
      <c r="B152" s="186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263"/>
      <c r="P152" s="263"/>
      <c r="Q152" s="263"/>
      <c r="R152" s="263"/>
      <c r="S152" s="263"/>
      <c r="T152" s="263"/>
      <c r="U152" s="263"/>
      <c r="V152" s="263"/>
      <c r="W152" s="263"/>
      <c r="X152" s="263"/>
      <c r="Y152" s="263"/>
      <c r="Z152" s="263"/>
      <c r="AC152" s="263"/>
      <c r="AD152" s="263"/>
      <c r="AE152" s="263"/>
      <c r="AF152" s="263"/>
      <c r="AG152" s="263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</row>
    <row r="153" spans="1:43" s="187" customFormat="1" ht="15.6" x14ac:dyDescent="0.3">
      <c r="A153" s="185"/>
      <c r="B153" s="186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263"/>
      <c r="P153" s="263"/>
      <c r="Q153" s="263"/>
      <c r="R153" s="263"/>
      <c r="S153" s="263"/>
      <c r="T153" s="263"/>
      <c r="U153" s="263"/>
      <c r="V153" s="263"/>
      <c r="W153" s="263"/>
      <c r="X153" s="263"/>
      <c r="Y153" s="263"/>
      <c r="Z153" s="263"/>
      <c r="AC153" s="263"/>
      <c r="AD153" s="263"/>
      <c r="AE153" s="263"/>
      <c r="AF153" s="263"/>
      <c r="AG153" s="263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</row>
    <row r="154" spans="1:43" s="187" customFormat="1" ht="15.6" x14ac:dyDescent="0.3">
      <c r="A154" s="185"/>
      <c r="B154" s="186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C154" s="263"/>
      <c r="AD154" s="263"/>
      <c r="AE154" s="263"/>
      <c r="AF154" s="263"/>
      <c r="AG154" s="263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</row>
    <row r="155" spans="1:43" s="187" customFormat="1" ht="15.6" x14ac:dyDescent="0.3">
      <c r="A155" s="185"/>
      <c r="B155" s="186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263"/>
      <c r="P155" s="263"/>
      <c r="Q155" s="263"/>
      <c r="R155" s="263"/>
      <c r="S155" s="263"/>
      <c r="T155" s="263"/>
      <c r="U155" s="263"/>
      <c r="V155" s="263"/>
      <c r="W155" s="263"/>
      <c r="X155" s="263"/>
      <c r="Y155" s="263"/>
      <c r="Z155" s="263"/>
      <c r="AC155" s="263"/>
      <c r="AD155" s="263"/>
      <c r="AE155" s="263"/>
      <c r="AF155" s="263"/>
      <c r="AG155" s="263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</row>
    <row r="156" spans="1:43" s="187" customFormat="1" ht="15.6" x14ac:dyDescent="0.3">
      <c r="A156" s="185"/>
      <c r="B156" s="186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263"/>
      <c r="P156" s="263"/>
      <c r="Q156" s="263"/>
      <c r="R156" s="263"/>
      <c r="S156" s="263"/>
      <c r="T156" s="263"/>
      <c r="U156" s="263"/>
      <c r="V156" s="263"/>
      <c r="W156" s="263"/>
      <c r="X156" s="263"/>
      <c r="Y156" s="263"/>
      <c r="Z156" s="263"/>
      <c r="AC156" s="263"/>
      <c r="AD156" s="263"/>
      <c r="AE156" s="263"/>
      <c r="AF156" s="263"/>
      <c r="AG156" s="263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</row>
    <row r="157" spans="1:43" s="187" customFormat="1" ht="15.6" x14ac:dyDescent="0.3">
      <c r="A157" s="185"/>
      <c r="B157" s="186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C157" s="263"/>
      <c r="AD157" s="263"/>
      <c r="AE157" s="263"/>
      <c r="AF157" s="263"/>
      <c r="AG157" s="263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</row>
    <row r="158" spans="1:43" s="187" customFormat="1" ht="15.6" x14ac:dyDescent="0.3">
      <c r="A158" s="185"/>
      <c r="B158" s="186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263"/>
      <c r="P158" s="263"/>
      <c r="Q158" s="263"/>
      <c r="R158" s="263"/>
      <c r="S158" s="263"/>
      <c r="T158" s="263"/>
      <c r="U158" s="263"/>
      <c r="V158" s="263"/>
      <c r="W158" s="263"/>
      <c r="X158" s="263"/>
      <c r="Y158" s="263"/>
      <c r="Z158" s="263"/>
      <c r="AC158" s="263"/>
      <c r="AD158" s="263"/>
      <c r="AE158" s="263"/>
      <c r="AF158" s="263"/>
      <c r="AG158" s="263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</row>
    <row r="159" spans="1:43" s="187" customFormat="1" ht="15.6" x14ac:dyDescent="0.3">
      <c r="A159" s="185"/>
      <c r="B159" s="186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263"/>
      <c r="P159" s="263"/>
      <c r="Q159" s="263"/>
      <c r="R159" s="263"/>
      <c r="S159" s="263"/>
      <c r="T159" s="263"/>
      <c r="U159" s="263"/>
      <c r="V159" s="263"/>
      <c r="W159" s="263"/>
      <c r="X159" s="263"/>
      <c r="Y159" s="263"/>
      <c r="Z159" s="263"/>
      <c r="AC159" s="263"/>
      <c r="AD159" s="263"/>
      <c r="AE159" s="263"/>
      <c r="AF159" s="263"/>
      <c r="AG159" s="263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</row>
    <row r="160" spans="1:43" s="187" customFormat="1" ht="15.6" x14ac:dyDescent="0.3">
      <c r="A160" s="185"/>
      <c r="B160" s="186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263"/>
      <c r="P160" s="263"/>
      <c r="Q160" s="263"/>
      <c r="R160" s="263"/>
      <c r="S160" s="263"/>
      <c r="T160" s="263"/>
      <c r="U160" s="263"/>
      <c r="V160" s="263"/>
      <c r="W160" s="263"/>
      <c r="X160" s="263"/>
      <c r="Y160" s="263"/>
      <c r="Z160" s="263"/>
      <c r="AC160" s="263"/>
      <c r="AD160" s="263"/>
      <c r="AE160" s="263"/>
      <c r="AF160" s="263"/>
      <c r="AG160" s="263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</row>
    <row r="161" spans="1:43" s="187" customFormat="1" ht="15.6" x14ac:dyDescent="0.3">
      <c r="A161" s="185"/>
      <c r="B161" s="186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263"/>
      <c r="P161" s="263"/>
      <c r="Q161" s="263"/>
      <c r="R161" s="263"/>
      <c r="S161" s="263"/>
      <c r="T161" s="263"/>
      <c r="U161" s="263"/>
      <c r="V161" s="263"/>
      <c r="W161" s="263"/>
      <c r="X161" s="263"/>
      <c r="Y161" s="263"/>
      <c r="Z161" s="263"/>
      <c r="AC161" s="263"/>
      <c r="AD161" s="263"/>
      <c r="AE161" s="263"/>
      <c r="AF161" s="263"/>
      <c r="AG161" s="263"/>
      <c r="AH161" s="185"/>
      <c r="AI161" s="185"/>
      <c r="AJ161" s="185"/>
      <c r="AK161" s="185"/>
      <c r="AL161" s="185"/>
      <c r="AM161" s="185"/>
      <c r="AN161" s="185"/>
      <c r="AO161" s="185"/>
      <c r="AP161" s="185"/>
      <c r="AQ161" s="185"/>
    </row>
    <row r="162" spans="1:43" s="187" customFormat="1" ht="15.6" x14ac:dyDescent="0.3">
      <c r="A162" s="185"/>
      <c r="B162" s="186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263"/>
      <c r="P162" s="263"/>
      <c r="Q162" s="263"/>
      <c r="R162" s="263"/>
      <c r="S162" s="263"/>
      <c r="T162" s="263"/>
      <c r="U162" s="263"/>
      <c r="V162" s="263"/>
      <c r="W162" s="263"/>
      <c r="X162" s="263"/>
      <c r="Y162" s="263"/>
      <c r="Z162" s="263"/>
      <c r="AC162" s="263"/>
      <c r="AD162" s="263"/>
      <c r="AE162" s="263"/>
      <c r="AF162" s="263"/>
      <c r="AG162" s="263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</row>
    <row r="163" spans="1:43" s="187" customFormat="1" ht="15.6" x14ac:dyDescent="0.3">
      <c r="A163" s="185"/>
      <c r="B163" s="186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263"/>
      <c r="P163" s="263"/>
      <c r="Q163" s="263"/>
      <c r="R163" s="263"/>
      <c r="S163" s="263"/>
      <c r="T163" s="263"/>
      <c r="U163" s="263"/>
      <c r="V163" s="263"/>
      <c r="W163" s="263"/>
      <c r="X163" s="263"/>
      <c r="Y163" s="263"/>
      <c r="Z163" s="263"/>
      <c r="AC163" s="263"/>
      <c r="AD163" s="263"/>
      <c r="AE163" s="263"/>
      <c r="AF163" s="263"/>
      <c r="AG163" s="263"/>
      <c r="AH163" s="185"/>
      <c r="AI163" s="185"/>
      <c r="AJ163" s="185"/>
      <c r="AK163" s="185"/>
      <c r="AL163" s="185"/>
      <c r="AM163" s="185"/>
      <c r="AN163" s="185"/>
      <c r="AO163" s="185"/>
      <c r="AP163" s="185"/>
      <c r="AQ163" s="185"/>
    </row>
    <row r="164" spans="1:43" s="187" customFormat="1" ht="15.6" x14ac:dyDescent="0.3">
      <c r="A164" s="185"/>
      <c r="B164" s="186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263"/>
      <c r="P164" s="263"/>
      <c r="Q164" s="263"/>
      <c r="R164" s="263"/>
      <c r="S164" s="263"/>
      <c r="T164" s="263"/>
      <c r="U164" s="263"/>
      <c r="V164" s="263"/>
      <c r="W164" s="263"/>
      <c r="X164" s="263"/>
      <c r="Y164" s="263"/>
      <c r="Z164" s="263"/>
      <c r="AC164" s="263"/>
      <c r="AD164" s="263"/>
      <c r="AE164" s="263"/>
      <c r="AF164" s="263"/>
      <c r="AG164" s="263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</row>
    <row r="165" spans="1:43" s="187" customFormat="1" ht="15.6" x14ac:dyDescent="0.3">
      <c r="A165" s="185"/>
      <c r="B165" s="186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263"/>
      <c r="P165" s="263"/>
      <c r="Q165" s="263"/>
      <c r="R165" s="263"/>
      <c r="S165" s="263"/>
      <c r="T165" s="263"/>
      <c r="U165" s="263"/>
      <c r="V165" s="263"/>
      <c r="W165" s="263"/>
      <c r="X165" s="263"/>
      <c r="Y165" s="263"/>
      <c r="Z165" s="263"/>
      <c r="AC165" s="263"/>
      <c r="AD165" s="263"/>
      <c r="AE165" s="263"/>
      <c r="AF165" s="263"/>
      <c r="AG165" s="263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</row>
    <row r="166" spans="1:43" s="187" customFormat="1" ht="15.6" x14ac:dyDescent="0.3">
      <c r="A166" s="185"/>
      <c r="B166" s="186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263"/>
      <c r="P166" s="263"/>
      <c r="Q166" s="263"/>
      <c r="R166" s="263"/>
      <c r="S166" s="263"/>
      <c r="T166" s="263"/>
      <c r="U166" s="263"/>
      <c r="V166" s="263"/>
      <c r="W166" s="263"/>
      <c r="X166" s="263"/>
      <c r="Y166" s="263"/>
      <c r="Z166" s="263"/>
      <c r="AC166" s="263"/>
      <c r="AD166" s="263"/>
      <c r="AE166" s="263"/>
      <c r="AF166" s="263"/>
      <c r="AG166" s="263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</row>
    <row r="167" spans="1:43" s="187" customFormat="1" ht="15.6" x14ac:dyDescent="0.3">
      <c r="A167" s="185"/>
      <c r="B167" s="186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263"/>
      <c r="P167" s="263"/>
      <c r="Q167" s="263"/>
      <c r="R167" s="263"/>
      <c r="S167" s="263"/>
      <c r="T167" s="263"/>
      <c r="U167" s="263"/>
      <c r="V167" s="263"/>
      <c r="W167" s="263"/>
      <c r="X167" s="263"/>
      <c r="Y167" s="263"/>
      <c r="Z167" s="263"/>
      <c r="AC167" s="263"/>
      <c r="AD167" s="263"/>
      <c r="AE167" s="263"/>
      <c r="AF167" s="263"/>
      <c r="AG167" s="263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</row>
    <row r="168" spans="1:43" s="187" customFormat="1" ht="15.6" x14ac:dyDescent="0.3">
      <c r="A168" s="185"/>
      <c r="B168" s="186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263"/>
      <c r="P168" s="263"/>
      <c r="Q168" s="263"/>
      <c r="R168" s="263"/>
      <c r="S168" s="263"/>
      <c r="T168" s="263"/>
      <c r="U168" s="263"/>
      <c r="V168" s="263"/>
      <c r="W168" s="263"/>
      <c r="X168" s="263"/>
      <c r="Y168" s="263"/>
      <c r="Z168" s="263"/>
      <c r="AC168" s="263"/>
      <c r="AD168" s="263"/>
      <c r="AE168" s="263"/>
      <c r="AF168" s="263"/>
      <c r="AG168" s="263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</row>
    <row r="169" spans="1:43" s="187" customFormat="1" ht="15.6" x14ac:dyDescent="0.3">
      <c r="A169" s="185"/>
      <c r="B169" s="186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263"/>
      <c r="P169" s="263"/>
      <c r="Q169" s="263"/>
      <c r="R169" s="263"/>
      <c r="S169" s="263"/>
      <c r="T169" s="263"/>
      <c r="U169" s="263"/>
      <c r="V169" s="263"/>
      <c r="W169" s="263"/>
      <c r="X169" s="263"/>
      <c r="Y169" s="263"/>
      <c r="Z169" s="263"/>
      <c r="AC169" s="263"/>
      <c r="AD169" s="263"/>
      <c r="AE169" s="263"/>
      <c r="AF169" s="263"/>
      <c r="AG169" s="263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</row>
    <row r="170" spans="1:43" s="187" customFormat="1" ht="15.6" x14ac:dyDescent="0.3">
      <c r="A170" s="185"/>
      <c r="B170" s="186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263"/>
      <c r="P170" s="263"/>
      <c r="Q170" s="263"/>
      <c r="R170" s="263"/>
      <c r="S170" s="263"/>
      <c r="T170" s="263"/>
      <c r="U170" s="263"/>
      <c r="V170" s="263"/>
      <c r="W170" s="263"/>
      <c r="X170" s="263"/>
      <c r="Y170" s="263"/>
      <c r="Z170" s="263"/>
      <c r="AC170" s="263"/>
      <c r="AD170" s="263"/>
      <c r="AE170" s="263"/>
      <c r="AF170" s="263"/>
      <c r="AG170" s="263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</row>
    <row r="171" spans="1:43" s="187" customFormat="1" ht="15.6" x14ac:dyDescent="0.3">
      <c r="A171" s="185"/>
      <c r="B171" s="186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263"/>
      <c r="P171" s="263"/>
      <c r="Q171" s="263"/>
      <c r="R171" s="263"/>
      <c r="S171" s="263"/>
      <c r="T171" s="263"/>
      <c r="U171" s="263"/>
      <c r="V171" s="263"/>
      <c r="W171" s="263"/>
      <c r="X171" s="263"/>
      <c r="Y171" s="263"/>
      <c r="Z171" s="263"/>
      <c r="AC171" s="263"/>
      <c r="AD171" s="263"/>
      <c r="AE171" s="263"/>
      <c r="AF171" s="263"/>
      <c r="AG171" s="263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</row>
    <row r="172" spans="1:43" s="187" customFormat="1" ht="15.6" x14ac:dyDescent="0.3">
      <c r="A172" s="185"/>
      <c r="B172" s="186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263"/>
      <c r="P172" s="263"/>
      <c r="Q172" s="263"/>
      <c r="R172" s="263"/>
      <c r="S172" s="263"/>
      <c r="T172" s="263"/>
      <c r="U172" s="263"/>
      <c r="V172" s="263"/>
      <c r="W172" s="263"/>
      <c r="X172" s="263"/>
      <c r="Y172" s="263"/>
      <c r="Z172" s="263"/>
      <c r="AC172" s="263"/>
      <c r="AD172" s="263"/>
      <c r="AE172" s="263"/>
      <c r="AF172" s="263"/>
      <c r="AG172" s="263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</row>
    <row r="173" spans="1:43" s="187" customFormat="1" ht="15.6" x14ac:dyDescent="0.3">
      <c r="A173" s="185"/>
      <c r="B173" s="186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263"/>
      <c r="P173" s="263"/>
      <c r="Q173" s="263"/>
      <c r="R173" s="263"/>
      <c r="S173" s="263"/>
      <c r="T173" s="263"/>
      <c r="U173" s="263"/>
      <c r="V173" s="263"/>
      <c r="W173" s="263"/>
      <c r="X173" s="263"/>
      <c r="Y173" s="263"/>
      <c r="Z173" s="263"/>
      <c r="AC173" s="263"/>
      <c r="AD173" s="263"/>
      <c r="AE173" s="263"/>
      <c r="AF173" s="263"/>
      <c r="AG173" s="263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</row>
    <row r="174" spans="1:43" s="187" customFormat="1" ht="15.6" x14ac:dyDescent="0.3">
      <c r="A174" s="185"/>
      <c r="B174" s="186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263"/>
      <c r="P174" s="263"/>
      <c r="Q174" s="263"/>
      <c r="R174" s="263"/>
      <c r="S174" s="263"/>
      <c r="T174" s="263"/>
      <c r="U174" s="263"/>
      <c r="V174" s="263"/>
      <c r="W174" s="263"/>
      <c r="X174" s="263"/>
      <c r="Y174" s="263"/>
      <c r="Z174" s="263"/>
      <c r="AC174" s="263"/>
      <c r="AD174" s="263"/>
      <c r="AE174" s="263"/>
      <c r="AF174" s="263"/>
      <c r="AG174" s="263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</row>
    <row r="175" spans="1:43" s="187" customFormat="1" ht="15.6" x14ac:dyDescent="0.3">
      <c r="A175" s="185"/>
      <c r="B175" s="186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263"/>
      <c r="P175" s="263"/>
      <c r="Q175" s="263"/>
      <c r="R175" s="263"/>
      <c r="S175" s="263"/>
      <c r="T175" s="263"/>
      <c r="U175" s="263"/>
      <c r="V175" s="263"/>
      <c r="W175" s="263"/>
      <c r="X175" s="263"/>
      <c r="Y175" s="263"/>
      <c r="Z175" s="263"/>
      <c r="AC175" s="263"/>
      <c r="AD175" s="263"/>
      <c r="AE175" s="263"/>
      <c r="AF175" s="263"/>
      <c r="AG175" s="263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</row>
    <row r="176" spans="1:43" s="187" customFormat="1" ht="15.6" x14ac:dyDescent="0.3">
      <c r="A176" s="185"/>
      <c r="B176" s="186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263"/>
      <c r="P176" s="263"/>
      <c r="Q176" s="263"/>
      <c r="R176" s="263"/>
      <c r="S176" s="263"/>
      <c r="T176" s="263"/>
      <c r="U176" s="263"/>
      <c r="V176" s="263"/>
      <c r="W176" s="263"/>
      <c r="X176" s="263"/>
      <c r="Y176" s="263"/>
      <c r="Z176" s="263"/>
      <c r="AC176" s="263"/>
      <c r="AD176" s="263"/>
      <c r="AE176" s="263"/>
      <c r="AF176" s="263"/>
      <c r="AG176" s="263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</row>
    <row r="177" spans="1:43" s="187" customFormat="1" ht="15.6" x14ac:dyDescent="0.3">
      <c r="A177" s="185"/>
      <c r="B177" s="186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3"/>
      <c r="AC177" s="263"/>
      <c r="AD177" s="263"/>
      <c r="AE177" s="263"/>
      <c r="AF177" s="263"/>
      <c r="AG177" s="263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</row>
    <row r="178" spans="1:43" s="187" customFormat="1" ht="15.6" x14ac:dyDescent="0.3">
      <c r="A178" s="185"/>
      <c r="B178" s="186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263"/>
      <c r="P178" s="263"/>
      <c r="Q178" s="263"/>
      <c r="R178" s="263"/>
      <c r="S178" s="263"/>
      <c r="T178" s="263"/>
      <c r="U178" s="263"/>
      <c r="V178" s="263"/>
      <c r="W178" s="263"/>
      <c r="X178" s="263"/>
      <c r="Y178" s="263"/>
      <c r="Z178" s="263"/>
      <c r="AC178" s="263"/>
      <c r="AD178" s="263"/>
      <c r="AE178" s="263"/>
      <c r="AF178" s="263"/>
      <c r="AG178" s="263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</row>
    <row r="179" spans="1:43" s="187" customFormat="1" ht="15.6" x14ac:dyDescent="0.3">
      <c r="A179" s="185"/>
      <c r="B179" s="186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263"/>
      <c r="P179" s="263"/>
      <c r="Q179" s="263"/>
      <c r="R179" s="263"/>
      <c r="S179" s="263"/>
      <c r="T179" s="263"/>
      <c r="U179" s="263"/>
      <c r="V179" s="263"/>
      <c r="W179" s="263"/>
      <c r="X179" s="263"/>
      <c r="Y179" s="263"/>
      <c r="Z179" s="263"/>
      <c r="AC179" s="263"/>
      <c r="AD179" s="263"/>
      <c r="AE179" s="263"/>
      <c r="AF179" s="263"/>
      <c r="AG179" s="263"/>
      <c r="AH179" s="185"/>
      <c r="AI179" s="185"/>
      <c r="AJ179" s="185"/>
      <c r="AK179" s="185"/>
      <c r="AL179" s="185"/>
      <c r="AM179" s="185"/>
      <c r="AN179" s="185"/>
      <c r="AO179" s="185"/>
      <c r="AP179" s="185"/>
      <c r="AQ179" s="185"/>
    </row>
    <row r="180" spans="1:43" s="187" customFormat="1" ht="15.6" x14ac:dyDescent="0.3">
      <c r="A180" s="185"/>
      <c r="B180" s="186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263"/>
      <c r="P180" s="263"/>
      <c r="Q180" s="263"/>
      <c r="R180" s="263"/>
      <c r="S180" s="263"/>
      <c r="T180" s="263"/>
      <c r="U180" s="263"/>
      <c r="V180" s="263"/>
      <c r="W180" s="263"/>
      <c r="X180" s="263"/>
      <c r="Y180" s="263"/>
      <c r="Z180" s="263"/>
      <c r="AC180" s="263"/>
      <c r="AD180" s="263"/>
      <c r="AE180" s="263"/>
      <c r="AF180" s="263"/>
      <c r="AG180" s="263"/>
      <c r="AH180" s="185"/>
      <c r="AI180" s="185"/>
      <c r="AJ180" s="185"/>
      <c r="AK180" s="185"/>
      <c r="AL180" s="185"/>
      <c r="AM180" s="185"/>
      <c r="AN180" s="185"/>
      <c r="AO180" s="185"/>
      <c r="AP180" s="185"/>
      <c r="AQ180" s="185"/>
    </row>
    <row r="181" spans="1:43" s="187" customFormat="1" ht="15.6" x14ac:dyDescent="0.3">
      <c r="A181" s="185"/>
      <c r="B181" s="186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263"/>
      <c r="P181" s="263"/>
      <c r="Q181" s="263"/>
      <c r="R181" s="263"/>
      <c r="S181" s="263"/>
      <c r="T181" s="263"/>
      <c r="U181" s="263"/>
      <c r="V181" s="263"/>
      <c r="W181" s="263"/>
      <c r="X181" s="263"/>
      <c r="Y181" s="263"/>
      <c r="Z181" s="263"/>
      <c r="AC181" s="263"/>
      <c r="AD181" s="263"/>
      <c r="AE181" s="263"/>
      <c r="AF181" s="263"/>
      <c r="AG181" s="263"/>
      <c r="AH181" s="185"/>
      <c r="AI181" s="185"/>
      <c r="AJ181" s="185"/>
      <c r="AK181" s="185"/>
      <c r="AL181" s="185"/>
      <c r="AM181" s="185"/>
      <c r="AN181" s="185"/>
      <c r="AO181" s="185"/>
      <c r="AP181" s="185"/>
      <c r="AQ181" s="185"/>
    </row>
    <row r="182" spans="1:43" s="187" customFormat="1" ht="15.6" x14ac:dyDescent="0.3">
      <c r="A182" s="185"/>
      <c r="B182" s="186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263"/>
      <c r="P182" s="263"/>
      <c r="Q182" s="263"/>
      <c r="R182" s="263"/>
      <c r="S182" s="263"/>
      <c r="T182" s="263"/>
      <c r="U182" s="263"/>
      <c r="V182" s="263"/>
      <c r="W182" s="263"/>
      <c r="X182" s="263"/>
      <c r="Y182" s="263"/>
      <c r="Z182" s="263"/>
      <c r="AC182" s="263"/>
      <c r="AD182" s="263"/>
      <c r="AE182" s="263"/>
      <c r="AF182" s="263"/>
      <c r="AG182" s="263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</row>
    <row r="183" spans="1:43" s="187" customFormat="1" ht="15.6" x14ac:dyDescent="0.3">
      <c r="A183" s="185"/>
      <c r="B183" s="186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263"/>
      <c r="P183" s="263"/>
      <c r="Q183" s="263"/>
      <c r="R183" s="263"/>
      <c r="S183" s="263"/>
      <c r="T183" s="263"/>
      <c r="U183" s="263"/>
      <c r="V183" s="263"/>
      <c r="W183" s="263"/>
      <c r="X183" s="263"/>
      <c r="Y183" s="263"/>
      <c r="Z183" s="263"/>
      <c r="AC183" s="263"/>
      <c r="AD183" s="263"/>
      <c r="AE183" s="263"/>
      <c r="AF183" s="263"/>
      <c r="AG183" s="263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</row>
    <row r="184" spans="1:43" s="187" customFormat="1" ht="15.6" x14ac:dyDescent="0.3">
      <c r="A184" s="185"/>
      <c r="B184" s="186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263"/>
      <c r="P184" s="263"/>
      <c r="Q184" s="263"/>
      <c r="R184" s="263"/>
      <c r="S184" s="263"/>
      <c r="T184" s="263"/>
      <c r="U184" s="263"/>
      <c r="V184" s="263"/>
      <c r="W184" s="263"/>
      <c r="X184" s="263"/>
      <c r="Y184" s="263"/>
      <c r="Z184" s="263"/>
      <c r="AC184" s="263"/>
      <c r="AD184" s="263"/>
      <c r="AE184" s="263"/>
      <c r="AF184" s="263"/>
      <c r="AG184" s="263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</row>
    <row r="185" spans="1:43" s="187" customFormat="1" ht="15.6" x14ac:dyDescent="0.3">
      <c r="A185" s="185"/>
      <c r="B185" s="186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263"/>
      <c r="P185" s="263"/>
      <c r="Q185" s="263"/>
      <c r="R185" s="263"/>
      <c r="S185" s="263"/>
      <c r="T185" s="263"/>
      <c r="U185" s="263"/>
      <c r="V185" s="263"/>
      <c r="W185" s="263"/>
      <c r="X185" s="263"/>
      <c r="Y185" s="263"/>
      <c r="Z185" s="263"/>
      <c r="AC185" s="263"/>
      <c r="AD185" s="263"/>
      <c r="AE185" s="263"/>
      <c r="AF185" s="263"/>
      <c r="AG185" s="263"/>
      <c r="AH185" s="185"/>
      <c r="AI185" s="185"/>
      <c r="AJ185" s="185"/>
      <c r="AK185" s="185"/>
      <c r="AL185" s="185"/>
      <c r="AM185" s="185"/>
      <c r="AN185" s="185"/>
      <c r="AO185" s="185"/>
      <c r="AP185" s="185"/>
      <c r="AQ185" s="185"/>
    </row>
    <row r="186" spans="1:43" s="187" customFormat="1" ht="15.6" x14ac:dyDescent="0.3">
      <c r="A186" s="185"/>
      <c r="B186" s="186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263"/>
      <c r="P186" s="263"/>
      <c r="Q186" s="263"/>
      <c r="R186" s="263"/>
      <c r="S186" s="263"/>
      <c r="T186" s="263"/>
      <c r="U186" s="263"/>
      <c r="V186" s="263"/>
      <c r="W186" s="263"/>
      <c r="X186" s="263"/>
      <c r="Y186" s="263"/>
      <c r="Z186" s="263"/>
      <c r="AC186" s="263"/>
      <c r="AD186" s="263"/>
      <c r="AE186" s="263"/>
      <c r="AF186" s="263"/>
      <c r="AG186" s="263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</row>
    <row r="187" spans="1:43" s="187" customFormat="1" ht="15.6" x14ac:dyDescent="0.3">
      <c r="A187" s="185"/>
      <c r="B187" s="186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263"/>
      <c r="P187" s="263"/>
      <c r="Q187" s="263"/>
      <c r="R187" s="263"/>
      <c r="S187" s="263"/>
      <c r="T187" s="263"/>
      <c r="U187" s="263"/>
      <c r="V187" s="263"/>
      <c r="W187" s="263"/>
      <c r="X187" s="263"/>
      <c r="Y187" s="263"/>
      <c r="Z187" s="263"/>
      <c r="AC187" s="263"/>
      <c r="AD187" s="263"/>
      <c r="AE187" s="263"/>
      <c r="AF187" s="263"/>
      <c r="AG187" s="263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</row>
    <row r="188" spans="1:43" s="187" customFormat="1" ht="15.6" x14ac:dyDescent="0.3">
      <c r="A188" s="185"/>
      <c r="B188" s="186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263"/>
      <c r="P188" s="263"/>
      <c r="Q188" s="263"/>
      <c r="R188" s="263"/>
      <c r="S188" s="263"/>
      <c r="T188" s="263"/>
      <c r="U188" s="263"/>
      <c r="V188" s="263"/>
      <c r="W188" s="263"/>
      <c r="X188" s="263"/>
      <c r="Y188" s="263"/>
      <c r="Z188" s="263"/>
      <c r="AC188" s="263"/>
      <c r="AD188" s="263"/>
      <c r="AE188" s="263"/>
      <c r="AF188" s="263"/>
      <c r="AG188" s="263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</row>
    <row r="189" spans="1:43" s="187" customFormat="1" ht="15.6" x14ac:dyDescent="0.3">
      <c r="A189" s="185"/>
      <c r="B189" s="186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263"/>
      <c r="P189" s="263"/>
      <c r="Q189" s="263"/>
      <c r="R189" s="263"/>
      <c r="S189" s="263"/>
      <c r="T189" s="263"/>
      <c r="U189" s="263"/>
      <c r="V189" s="263"/>
      <c r="W189" s="263"/>
      <c r="X189" s="263"/>
      <c r="Y189" s="263"/>
      <c r="Z189" s="263"/>
      <c r="AC189" s="263"/>
      <c r="AD189" s="263"/>
      <c r="AE189" s="263"/>
      <c r="AF189" s="263"/>
      <c r="AG189" s="263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</row>
    <row r="190" spans="1:43" s="187" customFormat="1" ht="15.6" x14ac:dyDescent="0.3">
      <c r="A190" s="185"/>
      <c r="B190" s="186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263"/>
      <c r="P190" s="263"/>
      <c r="Q190" s="263"/>
      <c r="R190" s="263"/>
      <c r="S190" s="263"/>
      <c r="T190" s="263"/>
      <c r="U190" s="263"/>
      <c r="V190" s="263"/>
      <c r="W190" s="263"/>
      <c r="X190" s="263"/>
      <c r="Y190" s="263"/>
      <c r="Z190" s="263"/>
      <c r="AC190" s="263"/>
      <c r="AD190" s="263"/>
      <c r="AE190" s="263"/>
      <c r="AF190" s="263"/>
      <c r="AG190" s="263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</row>
    <row r="191" spans="1:43" s="187" customFormat="1" ht="15.6" x14ac:dyDescent="0.3">
      <c r="A191" s="185"/>
      <c r="B191" s="186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263"/>
      <c r="P191" s="263"/>
      <c r="Q191" s="263"/>
      <c r="R191" s="263"/>
      <c r="S191" s="263"/>
      <c r="T191" s="263"/>
      <c r="U191" s="263"/>
      <c r="V191" s="263"/>
      <c r="W191" s="263"/>
      <c r="X191" s="263"/>
      <c r="Y191" s="263"/>
      <c r="Z191" s="263"/>
      <c r="AC191" s="263"/>
      <c r="AD191" s="263"/>
      <c r="AE191" s="263"/>
      <c r="AF191" s="263"/>
      <c r="AG191" s="263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</row>
    <row r="192" spans="1:43" s="187" customFormat="1" ht="15.6" x14ac:dyDescent="0.3">
      <c r="A192" s="185"/>
      <c r="B192" s="186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263"/>
      <c r="P192" s="263"/>
      <c r="Q192" s="263"/>
      <c r="R192" s="263"/>
      <c r="S192" s="263"/>
      <c r="T192" s="263"/>
      <c r="U192" s="263"/>
      <c r="V192" s="263"/>
      <c r="W192" s="263"/>
      <c r="X192" s="263"/>
      <c r="Y192" s="263"/>
      <c r="Z192" s="263"/>
      <c r="AC192" s="263"/>
      <c r="AD192" s="263"/>
      <c r="AE192" s="263"/>
      <c r="AF192" s="263"/>
      <c r="AG192" s="263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</row>
    <row r="193" spans="1:43" s="187" customFormat="1" ht="15.6" x14ac:dyDescent="0.3">
      <c r="A193" s="185"/>
      <c r="B193" s="186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263"/>
      <c r="P193" s="263"/>
      <c r="Q193" s="263"/>
      <c r="R193" s="263"/>
      <c r="S193" s="263"/>
      <c r="T193" s="263"/>
      <c r="U193" s="263"/>
      <c r="V193" s="263"/>
      <c r="W193" s="263"/>
      <c r="X193" s="263"/>
      <c r="Y193" s="263"/>
      <c r="Z193" s="263"/>
      <c r="AC193" s="263"/>
      <c r="AD193" s="263"/>
      <c r="AE193" s="263"/>
      <c r="AF193" s="263"/>
      <c r="AG193" s="263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</row>
    <row r="194" spans="1:43" s="187" customFormat="1" ht="15.6" x14ac:dyDescent="0.3">
      <c r="A194" s="185"/>
      <c r="B194" s="186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263"/>
      <c r="P194" s="263"/>
      <c r="Q194" s="263"/>
      <c r="R194" s="263"/>
      <c r="S194" s="263"/>
      <c r="T194" s="263"/>
      <c r="U194" s="263"/>
      <c r="V194" s="263"/>
      <c r="W194" s="263"/>
      <c r="X194" s="263"/>
      <c r="Y194" s="263"/>
      <c r="Z194" s="263"/>
      <c r="AC194" s="263"/>
      <c r="AD194" s="263"/>
      <c r="AE194" s="263"/>
      <c r="AF194" s="263"/>
      <c r="AG194" s="263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</row>
    <row r="195" spans="1:43" s="187" customFormat="1" ht="15.6" x14ac:dyDescent="0.3">
      <c r="A195" s="185"/>
      <c r="B195" s="186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263"/>
      <c r="P195" s="263"/>
      <c r="Q195" s="263"/>
      <c r="R195" s="263"/>
      <c r="S195" s="263"/>
      <c r="T195" s="263"/>
      <c r="U195" s="263"/>
      <c r="V195" s="263"/>
      <c r="W195" s="263"/>
      <c r="X195" s="263"/>
      <c r="Y195" s="263"/>
      <c r="Z195" s="263"/>
      <c r="AC195" s="263"/>
      <c r="AD195" s="263"/>
      <c r="AE195" s="263"/>
      <c r="AF195" s="263"/>
      <c r="AG195" s="263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</row>
    <row r="196" spans="1:43" s="187" customFormat="1" ht="15.6" x14ac:dyDescent="0.3">
      <c r="A196" s="185"/>
      <c r="B196" s="186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263"/>
      <c r="P196" s="263"/>
      <c r="Q196" s="263"/>
      <c r="R196" s="263"/>
      <c r="S196" s="263"/>
      <c r="T196" s="263"/>
      <c r="U196" s="263"/>
      <c r="V196" s="263"/>
      <c r="W196" s="263"/>
      <c r="X196" s="263"/>
      <c r="Y196" s="263"/>
      <c r="Z196" s="263"/>
      <c r="AC196" s="263"/>
      <c r="AD196" s="263"/>
      <c r="AE196" s="263"/>
      <c r="AF196" s="263"/>
      <c r="AG196" s="263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</row>
    <row r="197" spans="1:43" s="187" customFormat="1" ht="15.6" x14ac:dyDescent="0.3">
      <c r="A197" s="185"/>
      <c r="B197" s="186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263"/>
      <c r="P197" s="263"/>
      <c r="Q197" s="263"/>
      <c r="R197" s="263"/>
      <c r="S197" s="263"/>
      <c r="T197" s="263"/>
      <c r="U197" s="263"/>
      <c r="V197" s="263"/>
      <c r="W197" s="263"/>
      <c r="X197" s="263"/>
      <c r="Y197" s="263"/>
      <c r="Z197" s="263"/>
      <c r="AA197" s="263"/>
      <c r="AB197" s="263"/>
      <c r="AC197" s="263"/>
      <c r="AD197" s="263"/>
      <c r="AE197" s="263"/>
      <c r="AF197" s="263"/>
      <c r="AG197" s="263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</row>
    <row r="198" spans="1:43" s="187" customFormat="1" ht="15.6" x14ac:dyDescent="0.3">
      <c r="A198" s="185"/>
      <c r="B198" s="186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263"/>
      <c r="P198" s="263"/>
      <c r="Q198" s="263"/>
      <c r="R198" s="263"/>
      <c r="S198" s="263"/>
      <c r="T198" s="263"/>
      <c r="U198" s="263"/>
      <c r="V198" s="263"/>
      <c r="W198" s="263"/>
      <c r="X198" s="263"/>
      <c r="Y198" s="263"/>
      <c r="Z198" s="263"/>
      <c r="AA198" s="263"/>
      <c r="AB198" s="263"/>
      <c r="AC198" s="263"/>
      <c r="AD198" s="263"/>
      <c r="AE198" s="263"/>
      <c r="AF198" s="263"/>
      <c r="AG198" s="263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</row>
    <row r="199" spans="1:43" s="187" customFormat="1" ht="15.6" x14ac:dyDescent="0.3">
      <c r="A199" s="185"/>
      <c r="B199" s="186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263"/>
      <c r="P199" s="263"/>
      <c r="Q199" s="263"/>
      <c r="R199" s="263"/>
      <c r="S199" s="263"/>
      <c r="T199" s="263"/>
      <c r="U199" s="263"/>
      <c r="V199" s="263"/>
      <c r="W199" s="263"/>
      <c r="X199" s="263"/>
      <c r="Y199" s="263"/>
      <c r="Z199" s="263"/>
      <c r="AA199" s="263"/>
      <c r="AB199" s="263"/>
      <c r="AC199" s="263"/>
      <c r="AD199" s="263"/>
      <c r="AE199" s="263"/>
      <c r="AF199" s="263"/>
      <c r="AG199" s="263"/>
      <c r="AH199" s="185"/>
      <c r="AI199" s="185"/>
      <c r="AJ199" s="185"/>
      <c r="AK199" s="185"/>
      <c r="AL199" s="185"/>
      <c r="AM199" s="185"/>
      <c r="AN199" s="185"/>
      <c r="AO199" s="185"/>
      <c r="AP199" s="185"/>
      <c r="AQ199" s="185"/>
    </row>
    <row r="200" spans="1:43" s="187" customFormat="1" ht="15.6" x14ac:dyDescent="0.3">
      <c r="A200" s="185"/>
      <c r="B200" s="186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263"/>
      <c r="P200" s="263"/>
      <c r="Q200" s="263"/>
      <c r="R200" s="263"/>
      <c r="S200" s="263"/>
      <c r="T200" s="263"/>
      <c r="U200" s="263"/>
      <c r="V200" s="263"/>
      <c r="W200" s="263"/>
      <c r="X200" s="263"/>
      <c r="Y200" s="263"/>
      <c r="Z200" s="263"/>
      <c r="AA200" s="263"/>
      <c r="AB200" s="263"/>
      <c r="AC200" s="263"/>
      <c r="AD200" s="263"/>
      <c r="AE200" s="263"/>
      <c r="AF200" s="263"/>
      <c r="AG200" s="263"/>
      <c r="AH200" s="185"/>
      <c r="AI200" s="185"/>
      <c r="AJ200" s="185"/>
      <c r="AK200" s="185"/>
      <c r="AL200" s="185"/>
      <c r="AM200" s="185"/>
      <c r="AN200" s="185"/>
      <c r="AO200" s="185"/>
      <c r="AP200" s="185"/>
      <c r="AQ200" s="185"/>
    </row>
    <row r="201" spans="1:43" s="187" customFormat="1" ht="15.6" x14ac:dyDescent="0.3">
      <c r="A201" s="185"/>
      <c r="B201" s="186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263"/>
      <c r="P201" s="263"/>
      <c r="Q201" s="263"/>
      <c r="R201" s="263"/>
      <c r="S201" s="263"/>
      <c r="T201" s="263"/>
      <c r="U201" s="263"/>
      <c r="V201" s="263"/>
      <c r="W201" s="263"/>
      <c r="X201" s="263"/>
      <c r="Y201" s="263"/>
      <c r="Z201" s="263"/>
      <c r="AA201" s="263"/>
      <c r="AB201" s="263"/>
      <c r="AC201" s="263"/>
      <c r="AD201" s="263"/>
      <c r="AE201" s="263"/>
      <c r="AF201" s="263"/>
      <c r="AG201" s="263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</row>
    <row r="202" spans="1:43" s="187" customFormat="1" ht="15.6" x14ac:dyDescent="0.3">
      <c r="A202" s="185"/>
      <c r="B202" s="186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263"/>
      <c r="P202" s="263"/>
      <c r="Q202" s="263"/>
      <c r="R202" s="263"/>
      <c r="S202" s="263"/>
      <c r="T202" s="263"/>
      <c r="U202" s="263"/>
      <c r="V202" s="263"/>
      <c r="W202" s="263"/>
      <c r="X202" s="263"/>
      <c r="Y202" s="263"/>
      <c r="Z202" s="263"/>
      <c r="AA202" s="263"/>
      <c r="AB202" s="263"/>
      <c r="AC202" s="263"/>
      <c r="AD202" s="263"/>
      <c r="AE202" s="263"/>
      <c r="AF202" s="263"/>
      <c r="AG202" s="263"/>
      <c r="AH202" s="185"/>
      <c r="AI202" s="185"/>
      <c r="AJ202" s="185"/>
      <c r="AK202" s="185"/>
      <c r="AL202" s="185"/>
      <c r="AM202" s="185"/>
      <c r="AN202" s="185"/>
      <c r="AO202" s="185"/>
      <c r="AP202" s="185"/>
      <c r="AQ202" s="185"/>
    </row>
    <row r="203" spans="1:43" s="187" customFormat="1" ht="15.6" x14ac:dyDescent="0.3">
      <c r="A203" s="185"/>
      <c r="B203" s="186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263"/>
      <c r="P203" s="263"/>
      <c r="Q203" s="263"/>
      <c r="R203" s="263"/>
      <c r="S203" s="263"/>
      <c r="T203" s="263"/>
      <c r="U203" s="263"/>
      <c r="V203" s="263"/>
      <c r="W203" s="263"/>
      <c r="X203" s="263"/>
      <c r="Y203" s="263"/>
      <c r="Z203" s="263"/>
      <c r="AA203" s="263"/>
      <c r="AB203" s="263"/>
      <c r="AC203" s="263"/>
      <c r="AD203" s="263"/>
      <c r="AE203" s="263"/>
      <c r="AF203" s="263"/>
      <c r="AG203" s="263"/>
      <c r="AH203" s="185"/>
      <c r="AI203" s="185"/>
      <c r="AJ203" s="185"/>
      <c r="AK203" s="185"/>
      <c r="AL203" s="185"/>
      <c r="AM203" s="185"/>
      <c r="AN203" s="185"/>
      <c r="AO203" s="185"/>
      <c r="AP203" s="185"/>
      <c r="AQ203" s="185"/>
    </row>
    <row r="204" spans="1:43" s="187" customFormat="1" ht="15.6" x14ac:dyDescent="0.3">
      <c r="A204" s="185"/>
      <c r="B204" s="186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263"/>
      <c r="P204" s="263"/>
      <c r="Q204" s="263"/>
      <c r="R204" s="263"/>
      <c r="S204" s="263"/>
      <c r="T204" s="263"/>
      <c r="U204" s="263"/>
      <c r="V204" s="263"/>
      <c r="W204" s="263"/>
      <c r="X204" s="263"/>
      <c r="Y204" s="263"/>
      <c r="Z204" s="263"/>
      <c r="AA204" s="263"/>
      <c r="AB204" s="263"/>
      <c r="AC204" s="263"/>
      <c r="AD204" s="263"/>
      <c r="AE204" s="263"/>
      <c r="AF204" s="263"/>
      <c r="AG204" s="263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</row>
    <row r="205" spans="1:43" s="187" customFormat="1" ht="15.6" x14ac:dyDescent="0.3">
      <c r="A205" s="185"/>
      <c r="B205" s="186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263"/>
      <c r="P205" s="263"/>
      <c r="Q205" s="263"/>
      <c r="R205" s="263"/>
      <c r="S205" s="263"/>
      <c r="T205" s="263"/>
      <c r="U205" s="263"/>
      <c r="V205" s="263"/>
      <c r="W205" s="263"/>
      <c r="X205" s="263"/>
      <c r="Y205" s="263"/>
      <c r="Z205" s="263"/>
      <c r="AA205" s="263"/>
      <c r="AB205" s="263"/>
      <c r="AC205" s="263"/>
      <c r="AD205" s="263"/>
      <c r="AE205" s="263"/>
      <c r="AF205" s="263"/>
      <c r="AG205" s="263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</row>
    <row r="206" spans="1:43" s="187" customFormat="1" ht="15.6" x14ac:dyDescent="0.3">
      <c r="A206" s="185"/>
      <c r="B206" s="186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263"/>
      <c r="P206" s="263"/>
      <c r="Q206" s="263"/>
      <c r="R206" s="263"/>
      <c r="S206" s="263"/>
      <c r="T206" s="263"/>
      <c r="U206" s="263"/>
      <c r="V206" s="263"/>
      <c r="W206" s="263"/>
      <c r="X206" s="263"/>
      <c r="Y206" s="263"/>
      <c r="Z206" s="263"/>
      <c r="AA206" s="263"/>
      <c r="AB206" s="263"/>
      <c r="AC206" s="263"/>
      <c r="AD206" s="263"/>
      <c r="AE206" s="263"/>
      <c r="AF206" s="263"/>
      <c r="AG206" s="263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</row>
    <row r="207" spans="1:43" s="187" customFormat="1" ht="15.6" x14ac:dyDescent="0.3">
      <c r="A207" s="185"/>
      <c r="B207" s="186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263"/>
      <c r="P207" s="263"/>
      <c r="Q207" s="263"/>
      <c r="R207" s="263"/>
      <c r="S207" s="263"/>
      <c r="T207" s="263"/>
      <c r="U207" s="263"/>
      <c r="V207" s="263"/>
      <c r="W207" s="263"/>
      <c r="X207" s="263"/>
      <c r="Y207" s="263"/>
      <c r="Z207" s="263"/>
      <c r="AA207" s="263"/>
      <c r="AB207" s="263"/>
      <c r="AC207" s="263"/>
      <c r="AD207" s="263"/>
      <c r="AE207" s="263"/>
      <c r="AF207" s="263"/>
      <c r="AG207" s="263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</row>
    <row r="208" spans="1:43" s="187" customFormat="1" ht="15.6" x14ac:dyDescent="0.3">
      <c r="A208" s="185"/>
      <c r="B208" s="186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263"/>
      <c r="P208" s="263"/>
      <c r="Q208" s="263"/>
      <c r="R208" s="263"/>
      <c r="S208" s="263"/>
      <c r="T208" s="263"/>
      <c r="U208" s="263"/>
      <c r="V208" s="263"/>
      <c r="W208" s="263"/>
      <c r="X208" s="263"/>
      <c r="Y208" s="263"/>
      <c r="Z208" s="263"/>
      <c r="AA208" s="263"/>
      <c r="AB208" s="263"/>
      <c r="AC208" s="263"/>
      <c r="AD208" s="263"/>
      <c r="AE208" s="263"/>
      <c r="AF208" s="263"/>
      <c r="AG208" s="263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</row>
    <row r="209" spans="1:43" s="187" customFormat="1" ht="15.6" x14ac:dyDescent="0.3">
      <c r="A209" s="185"/>
      <c r="B209" s="186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263"/>
      <c r="P209" s="263"/>
      <c r="Q209" s="263"/>
      <c r="R209" s="263"/>
      <c r="S209" s="263"/>
      <c r="T209" s="263"/>
      <c r="U209" s="263"/>
      <c r="V209" s="263"/>
      <c r="W209" s="263"/>
      <c r="X209" s="263"/>
      <c r="Y209" s="263"/>
      <c r="Z209" s="263"/>
      <c r="AA209" s="263"/>
      <c r="AB209" s="263"/>
      <c r="AC209" s="263"/>
      <c r="AD209" s="263"/>
      <c r="AE209" s="263"/>
      <c r="AF209" s="263"/>
      <c r="AG209" s="263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</row>
    <row r="210" spans="1:43" s="187" customFormat="1" ht="15.6" x14ac:dyDescent="0.3">
      <c r="A210" s="185"/>
      <c r="B210" s="186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263"/>
      <c r="P210" s="263"/>
      <c r="Q210" s="263"/>
      <c r="R210" s="263"/>
      <c r="S210" s="263"/>
      <c r="T210" s="263"/>
      <c r="U210" s="263"/>
      <c r="V210" s="263"/>
      <c r="W210" s="263"/>
      <c r="X210" s="263"/>
      <c r="Y210" s="263"/>
      <c r="Z210" s="263"/>
      <c r="AA210" s="263"/>
      <c r="AB210" s="263"/>
      <c r="AC210" s="263"/>
      <c r="AD210" s="263"/>
      <c r="AE210" s="263"/>
      <c r="AF210" s="263"/>
      <c r="AG210" s="263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</row>
    <row r="211" spans="1:43" s="187" customFormat="1" ht="15.6" x14ac:dyDescent="0.3">
      <c r="A211" s="185"/>
      <c r="B211" s="186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263"/>
      <c r="P211" s="263"/>
      <c r="Q211" s="263"/>
      <c r="R211" s="263"/>
      <c r="S211" s="263"/>
      <c r="T211" s="263"/>
      <c r="U211" s="263"/>
      <c r="V211" s="263"/>
      <c r="W211" s="263"/>
      <c r="X211" s="263"/>
      <c r="Y211" s="263"/>
      <c r="Z211" s="263"/>
      <c r="AA211" s="263"/>
      <c r="AB211" s="263"/>
      <c r="AC211" s="263"/>
      <c r="AD211" s="263"/>
      <c r="AE211" s="263"/>
      <c r="AF211" s="263"/>
      <c r="AG211" s="263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</row>
    <row r="212" spans="1:43" s="187" customFormat="1" ht="15.6" x14ac:dyDescent="0.3">
      <c r="A212" s="185"/>
      <c r="B212" s="186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263"/>
      <c r="P212" s="263"/>
      <c r="Q212" s="263"/>
      <c r="R212" s="263"/>
      <c r="S212" s="263"/>
      <c r="T212" s="263"/>
      <c r="U212" s="263"/>
      <c r="V212" s="263"/>
      <c r="W212" s="263"/>
      <c r="X212" s="263"/>
      <c r="Y212" s="263"/>
      <c r="Z212" s="263"/>
      <c r="AA212" s="263"/>
      <c r="AB212" s="263"/>
      <c r="AC212" s="263"/>
      <c r="AD212" s="263"/>
      <c r="AE212" s="263"/>
      <c r="AF212" s="263"/>
      <c r="AG212" s="263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</row>
    <row r="213" spans="1:43" s="187" customFormat="1" ht="15.6" x14ac:dyDescent="0.3">
      <c r="A213" s="185"/>
      <c r="B213" s="186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263"/>
      <c r="P213" s="263"/>
      <c r="Q213" s="263"/>
      <c r="R213" s="263"/>
      <c r="S213" s="263"/>
      <c r="T213" s="263"/>
      <c r="U213" s="263"/>
      <c r="V213" s="263"/>
      <c r="W213" s="263"/>
      <c r="X213" s="263"/>
      <c r="Y213" s="263"/>
      <c r="Z213" s="263"/>
      <c r="AA213" s="263"/>
      <c r="AB213" s="263"/>
      <c r="AC213" s="263"/>
      <c r="AD213" s="263"/>
      <c r="AE213" s="263"/>
      <c r="AF213" s="263"/>
      <c r="AG213" s="263"/>
      <c r="AH213" s="185"/>
      <c r="AI213" s="185"/>
      <c r="AJ213" s="185"/>
      <c r="AK213" s="185"/>
      <c r="AL213" s="185"/>
      <c r="AM213" s="185"/>
      <c r="AN213" s="185"/>
      <c r="AO213" s="185"/>
      <c r="AP213" s="185"/>
      <c r="AQ213" s="185"/>
    </row>
    <row r="214" spans="1:43" s="187" customFormat="1" ht="15.6" x14ac:dyDescent="0.3">
      <c r="A214" s="185"/>
      <c r="B214" s="186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263"/>
      <c r="P214" s="263"/>
      <c r="Q214" s="263"/>
      <c r="R214" s="263"/>
      <c r="S214" s="263"/>
      <c r="T214" s="263"/>
      <c r="U214" s="263"/>
      <c r="V214" s="263"/>
      <c r="W214" s="263"/>
      <c r="X214" s="263"/>
      <c r="Y214" s="263"/>
      <c r="Z214" s="263"/>
      <c r="AA214" s="263"/>
      <c r="AB214" s="263"/>
      <c r="AC214" s="263"/>
      <c r="AD214" s="263"/>
      <c r="AE214" s="263"/>
      <c r="AF214" s="263"/>
      <c r="AG214" s="263"/>
      <c r="AH214" s="185"/>
      <c r="AI214" s="185"/>
      <c r="AJ214" s="185"/>
      <c r="AK214" s="185"/>
      <c r="AL214" s="185"/>
      <c r="AM214" s="185"/>
      <c r="AN214" s="185"/>
      <c r="AO214" s="185"/>
      <c r="AP214" s="185"/>
      <c r="AQ214" s="185"/>
    </row>
    <row r="215" spans="1:43" s="187" customFormat="1" ht="15.6" x14ac:dyDescent="0.3">
      <c r="A215" s="185"/>
      <c r="B215" s="186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263"/>
      <c r="P215" s="263"/>
      <c r="Q215" s="263"/>
      <c r="R215" s="263"/>
      <c r="S215" s="263"/>
      <c r="T215" s="263"/>
      <c r="U215" s="263"/>
      <c r="V215" s="263"/>
      <c r="W215" s="263"/>
      <c r="X215" s="263"/>
      <c r="Y215" s="263"/>
      <c r="Z215" s="263"/>
      <c r="AA215" s="263"/>
      <c r="AB215" s="263"/>
      <c r="AC215" s="263"/>
      <c r="AD215" s="263"/>
      <c r="AE215" s="263"/>
      <c r="AF215" s="263"/>
      <c r="AG215" s="263"/>
      <c r="AH215" s="185"/>
      <c r="AI215" s="185"/>
      <c r="AJ215" s="185"/>
      <c r="AK215" s="185"/>
      <c r="AL215" s="185"/>
      <c r="AM215" s="185"/>
      <c r="AN215" s="185"/>
      <c r="AO215" s="185"/>
      <c r="AP215" s="185"/>
      <c r="AQ215" s="185"/>
    </row>
    <row r="216" spans="1:43" s="187" customFormat="1" ht="15.6" x14ac:dyDescent="0.3">
      <c r="A216" s="185"/>
      <c r="B216" s="186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263"/>
      <c r="P216" s="263"/>
      <c r="Q216" s="263"/>
      <c r="R216" s="263"/>
      <c r="S216" s="263"/>
      <c r="T216" s="263"/>
      <c r="U216" s="263"/>
      <c r="V216" s="263"/>
      <c r="W216" s="263"/>
      <c r="X216" s="263"/>
      <c r="Y216" s="263"/>
      <c r="Z216" s="263"/>
      <c r="AA216" s="263"/>
      <c r="AB216" s="263"/>
      <c r="AC216" s="263"/>
      <c r="AD216" s="263"/>
      <c r="AE216" s="263"/>
      <c r="AF216" s="263"/>
      <c r="AG216" s="263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</row>
    <row r="217" spans="1:43" s="187" customFormat="1" ht="15.6" x14ac:dyDescent="0.3">
      <c r="A217" s="185"/>
      <c r="B217" s="186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263"/>
      <c r="P217" s="263"/>
      <c r="Q217" s="263"/>
      <c r="R217" s="263"/>
      <c r="S217" s="263"/>
      <c r="T217" s="263"/>
      <c r="U217" s="263"/>
      <c r="V217" s="263"/>
      <c r="W217" s="263"/>
      <c r="X217" s="263"/>
      <c r="Y217" s="263"/>
      <c r="Z217" s="263"/>
      <c r="AA217" s="263"/>
      <c r="AB217" s="263"/>
      <c r="AC217" s="263"/>
      <c r="AD217" s="263"/>
      <c r="AE217" s="263"/>
      <c r="AF217" s="263"/>
      <c r="AG217" s="263"/>
      <c r="AH217" s="185"/>
      <c r="AI217" s="185"/>
      <c r="AJ217" s="185"/>
      <c r="AK217" s="185"/>
      <c r="AL217" s="185"/>
      <c r="AM217" s="185"/>
      <c r="AN217" s="185"/>
      <c r="AO217" s="185"/>
      <c r="AP217" s="185"/>
      <c r="AQ217" s="185"/>
    </row>
    <row r="218" spans="1:43" s="187" customFormat="1" ht="15.6" x14ac:dyDescent="0.3">
      <c r="A218" s="185"/>
      <c r="B218" s="186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263"/>
      <c r="P218" s="263"/>
      <c r="Q218" s="263"/>
      <c r="R218" s="263"/>
      <c r="S218" s="263"/>
      <c r="T218" s="263"/>
      <c r="U218" s="263"/>
      <c r="V218" s="263"/>
      <c r="W218" s="263"/>
      <c r="X218" s="263"/>
      <c r="Y218" s="263"/>
      <c r="Z218" s="263"/>
      <c r="AA218" s="263"/>
      <c r="AB218" s="263"/>
      <c r="AC218" s="263"/>
      <c r="AD218" s="263"/>
      <c r="AE218" s="263"/>
      <c r="AF218" s="263"/>
      <c r="AG218" s="263"/>
      <c r="AH218" s="185"/>
      <c r="AI218" s="185"/>
      <c r="AJ218" s="185"/>
      <c r="AK218" s="185"/>
      <c r="AL218" s="185"/>
      <c r="AM218" s="185"/>
      <c r="AN218" s="185"/>
      <c r="AO218" s="185"/>
      <c r="AP218" s="185"/>
      <c r="AQ218" s="185"/>
    </row>
    <row r="219" spans="1:43" s="187" customFormat="1" ht="15.6" x14ac:dyDescent="0.3">
      <c r="A219" s="185"/>
      <c r="B219" s="186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263"/>
      <c r="P219" s="263"/>
      <c r="Q219" s="263"/>
      <c r="R219" s="263"/>
      <c r="S219" s="263"/>
      <c r="T219" s="263"/>
      <c r="U219" s="263"/>
      <c r="V219" s="263"/>
      <c r="W219" s="263"/>
      <c r="X219" s="263"/>
      <c r="Y219" s="263"/>
      <c r="Z219" s="263"/>
      <c r="AA219" s="263"/>
      <c r="AB219" s="263"/>
      <c r="AC219" s="263"/>
      <c r="AD219" s="263"/>
      <c r="AE219" s="263"/>
      <c r="AF219" s="263"/>
      <c r="AG219" s="263"/>
      <c r="AH219" s="185"/>
      <c r="AI219" s="185"/>
      <c r="AJ219" s="185"/>
      <c r="AK219" s="185"/>
      <c r="AL219" s="185"/>
      <c r="AM219" s="185"/>
      <c r="AN219" s="185"/>
      <c r="AO219" s="185"/>
      <c r="AP219" s="185"/>
      <c r="AQ219" s="185"/>
    </row>
    <row r="220" spans="1:43" s="187" customFormat="1" ht="15.6" x14ac:dyDescent="0.3">
      <c r="A220" s="185"/>
      <c r="B220" s="186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263"/>
      <c r="P220" s="263"/>
      <c r="Q220" s="263"/>
      <c r="R220" s="263"/>
      <c r="S220" s="263"/>
      <c r="T220" s="263"/>
      <c r="U220" s="263"/>
      <c r="V220" s="263"/>
      <c r="W220" s="263"/>
      <c r="X220" s="263"/>
      <c r="Y220" s="263"/>
      <c r="Z220" s="263"/>
      <c r="AA220" s="263"/>
      <c r="AB220" s="263"/>
      <c r="AC220" s="263"/>
      <c r="AD220" s="263"/>
      <c r="AE220" s="263"/>
      <c r="AF220" s="263"/>
      <c r="AG220" s="263"/>
      <c r="AH220" s="185"/>
      <c r="AI220" s="185"/>
      <c r="AJ220" s="185"/>
      <c r="AK220" s="185"/>
      <c r="AL220" s="185"/>
      <c r="AM220" s="185"/>
      <c r="AN220" s="185"/>
      <c r="AO220" s="185"/>
      <c r="AP220" s="185"/>
      <c r="AQ220" s="185"/>
    </row>
    <row r="221" spans="1:43" s="187" customFormat="1" ht="15.6" x14ac:dyDescent="0.3">
      <c r="A221" s="185"/>
      <c r="B221" s="186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263"/>
      <c r="P221" s="263"/>
      <c r="Q221" s="263"/>
      <c r="R221" s="263"/>
      <c r="S221" s="263"/>
      <c r="T221" s="263"/>
      <c r="U221" s="263"/>
      <c r="V221" s="263"/>
      <c r="W221" s="263"/>
      <c r="X221" s="263"/>
      <c r="Y221" s="263"/>
      <c r="Z221" s="263"/>
      <c r="AA221" s="263"/>
      <c r="AB221" s="263"/>
      <c r="AC221" s="263"/>
      <c r="AD221" s="263"/>
      <c r="AE221" s="263"/>
      <c r="AF221" s="263"/>
      <c r="AG221" s="263"/>
      <c r="AH221" s="185"/>
      <c r="AI221" s="185"/>
      <c r="AJ221" s="185"/>
      <c r="AK221" s="185"/>
      <c r="AL221" s="185"/>
      <c r="AM221" s="185"/>
      <c r="AN221" s="185"/>
      <c r="AO221" s="185"/>
      <c r="AP221" s="185"/>
      <c r="AQ221" s="185"/>
    </row>
    <row r="222" spans="1:43" s="187" customFormat="1" ht="15.6" x14ac:dyDescent="0.3">
      <c r="A222" s="185"/>
      <c r="B222" s="186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263"/>
      <c r="P222" s="263"/>
      <c r="Q222" s="263"/>
      <c r="R222" s="263"/>
      <c r="S222" s="263"/>
      <c r="T222" s="263"/>
      <c r="U222" s="263"/>
      <c r="V222" s="263"/>
      <c r="W222" s="263"/>
      <c r="X222" s="263"/>
      <c r="Y222" s="263"/>
      <c r="Z222" s="263"/>
      <c r="AA222" s="263"/>
      <c r="AB222" s="263"/>
      <c r="AC222" s="263"/>
      <c r="AD222" s="263"/>
      <c r="AE222" s="263"/>
      <c r="AF222" s="263"/>
      <c r="AG222" s="263"/>
      <c r="AH222" s="185"/>
      <c r="AI222" s="185"/>
      <c r="AJ222" s="185"/>
      <c r="AK222" s="185"/>
      <c r="AL222" s="185"/>
      <c r="AM222" s="185"/>
      <c r="AN222" s="185"/>
      <c r="AO222" s="185"/>
      <c r="AP222" s="185"/>
      <c r="AQ222" s="185"/>
    </row>
    <row r="223" spans="1:43" s="187" customFormat="1" ht="15.6" x14ac:dyDescent="0.3">
      <c r="A223" s="185"/>
      <c r="B223" s="186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263"/>
      <c r="P223" s="263"/>
      <c r="Q223" s="263"/>
      <c r="R223" s="263"/>
      <c r="S223" s="263"/>
      <c r="T223" s="263"/>
      <c r="U223" s="263"/>
      <c r="V223" s="263"/>
      <c r="W223" s="263"/>
      <c r="X223" s="263"/>
      <c r="Y223" s="263"/>
      <c r="Z223" s="263"/>
      <c r="AA223" s="263"/>
      <c r="AB223" s="263"/>
      <c r="AC223" s="263"/>
      <c r="AD223" s="263"/>
      <c r="AE223" s="263"/>
      <c r="AF223" s="263"/>
      <c r="AG223" s="263"/>
      <c r="AH223" s="185"/>
      <c r="AI223" s="185"/>
      <c r="AJ223" s="185"/>
      <c r="AK223" s="185"/>
      <c r="AL223" s="185"/>
      <c r="AM223" s="185"/>
      <c r="AN223" s="185"/>
      <c r="AO223" s="185"/>
      <c r="AP223" s="185"/>
      <c r="AQ223" s="185"/>
    </row>
    <row r="224" spans="1:43" s="187" customFormat="1" ht="15.6" x14ac:dyDescent="0.3">
      <c r="A224" s="185"/>
      <c r="B224" s="186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263"/>
      <c r="P224" s="263"/>
      <c r="Q224" s="263"/>
      <c r="R224" s="263"/>
      <c r="S224" s="263"/>
      <c r="T224" s="263"/>
      <c r="U224" s="263"/>
      <c r="V224" s="263"/>
      <c r="W224" s="263"/>
      <c r="X224" s="263"/>
      <c r="Y224" s="263"/>
      <c r="Z224" s="263"/>
      <c r="AA224" s="263"/>
      <c r="AB224" s="263"/>
      <c r="AC224" s="263"/>
      <c r="AD224" s="263"/>
      <c r="AE224" s="263"/>
      <c r="AF224" s="263"/>
      <c r="AG224" s="263"/>
      <c r="AH224" s="185"/>
      <c r="AI224" s="185"/>
      <c r="AJ224" s="185"/>
      <c r="AK224" s="185"/>
      <c r="AL224" s="185"/>
      <c r="AM224" s="185"/>
      <c r="AN224" s="185"/>
      <c r="AO224" s="185"/>
      <c r="AP224" s="185"/>
      <c r="AQ224" s="185"/>
    </row>
    <row r="225" spans="1:43" s="187" customFormat="1" ht="15.6" x14ac:dyDescent="0.3">
      <c r="A225" s="185"/>
      <c r="B225" s="186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263"/>
      <c r="P225" s="263"/>
      <c r="Q225" s="263"/>
      <c r="R225" s="263"/>
      <c r="S225" s="263"/>
      <c r="T225" s="263"/>
      <c r="U225" s="263"/>
      <c r="V225" s="263"/>
      <c r="W225" s="263"/>
      <c r="X225" s="263"/>
      <c r="Y225" s="263"/>
      <c r="Z225" s="263"/>
      <c r="AA225" s="263"/>
      <c r="AB225" s="263"/>
      <c r="AC225" s="263"/>
      <c r="AD225" s="263"/>
      <c r="AE225" s="263"/>
      <c r="AF225" s="263"/>
      <c r="AG225" s="263"/>
      <c r="AH225" s="185"/>
      <c r="AI225" s="185"/>
      <c r="AJ225" s="185"/>
      <c r="AK225" s="185"/>
      <c r="AL225" s="185"/>
      <c r="AM225" s="185"/>
      <c r="AN225" s="185"/>
      <c r="AO225" s="185"/>
      <c r="AP225" s="185"/>
      <c r="AQ225" s="185"/>
    </row>
    <row r="226" spans="1:43" s="187" customFormat="1" ht="15.6" x14ac:dyDescent="0.3">
      <c r="A226" s="185"/>
      <c r="B226" s="186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263"/>
      <c r="P226" s="263"/>
      <c r="Q226" s="263"/>
      <c r="R226" s="263"/>
      <c r="S226" s="263"/>
      <c r="T226" s="263"/>
      <c r="U226" s="263"/>
      <c r="V226" s="263"/>
      <c r="W226" s="263"/>
      <c r="X226" s="263"/>
      <c r="Y226" s="263"/>
      <c r="Z226" s="263"/>
      <c r="AA226" s="263"/>
      <c r="AB226" s="263"/>
      <c r="AC226" s="263"/>
      <c r="AD226" s="263"/>
      <c r="AE226" s="263"/>
      <c r="AF226" s="263"/>
      <c r="AG226" s="263"/>
      <c r="AH226" s="185"/>
      <c r="AI226" s="185"/>
      <c r="AJ226" s="185"/>
      <c r="AK226" s="185"/>
      <c r="AL226" s="185"/>
      <c r="AM226" s="185"/>
      <c r="AN226" s="185"/>
      <c r="AO226" s="185"/>
      <c r="AP226" s="185"/>
      <c r="AQ226" s="185"/>
    </row>
    <row r="227" spans="1:43" s="187" customFormat="1" ht="15.6" x14ac:dyDescent="0.3">
      <c r="A227" s="185"/>
      <c r="B227" s="186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263"/>
      <c r="P227" s="263"/>
      <c r="Q227" s="263"/>
      <c r="R227" s="263"/>
      <c r="S227" s="263"/>
      <c r="T227" s="263"/>
      <c r="U227" s="263"/>
      <c r="V227" s="263"/>
      <c r="W227" s="263"/>
      <c r="X227" s="263"/>
      <c r="Y227" s="263"/>
      <c r="Z227" s="263"/>
      <c r="AA227" s="263"/>
      <c r="AB227" s="263"/>
      <c r="AC227" s="263"/>
      <c r="AD227" s="263"/>
      <c r="AE227" s="263"/>
      <c r="AF227" s="263"/>
      <c r="AG227" s="263"/>
      <c r="AH227" s="185"/>
      <c r="AI227" s="185"/>
      <c r="AJ227" s="185"/>
      <c r="AK227" s="185"/>
      <c r="AL227" s="185"/>
      <c r="AM227" s="185"/>
      <c r="AN227" s="185"/>
      <c r="AO227" s="185"/>
      <c r="AP227" s="185"/>
      <c r="AQ227" s="185"/>
    </row>
    <row r="228" spans="1:43" s="187" customFormat="1" ht="15.6" x14ac:dyDescent="0.3">
      <c r="A228" s="185"/>
      <c r="B228" s="186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263"/>
      <c r="P228" s="263"/>
      <c r="Q228" s="263"/>
      <c r="R228" s="263"/>
      <c r="S228" s="263"/>
      <c r="T228" s="263"/>
      <c r="U228" s="263"/>
      <c r="V228" s="263"/>
      <c r="W228" s="263"/>
      <c r="X228" s="263"/>
      <c r="Y228" s="263"/>
      <c r="Z228" s="263"/>
      <c r="AA228" s="263"/>
      <c r="AB228" s="263"/>
      <c r="AC228" s="263"/>
      <c r="AD228" s="263"/>
      <c r="AE228" s="263"/>
      <c r="AF228" s="263"/>
      <c r="AG228" s="263"/>
      <c r="AH228" s="185"/>
      <c r="AI228" s="185"/>
      <c r="AJ228" s="185"/>
      <c r="AK228" s="185"/>
      <c r="AL228" s="185"/>
      <c r="AM228" s="185"/>
      <c r="AN228" s="185"/>
      <c r="AO228" s="185"/>
      <c r="AP228" s="185"/>
      <c r="AQ228" s="185"/>
    </row>
    <row r="229" spans="1:43" s="187" customFormat="1" ht="15.6" x14ac:dyDescent="0.3">
      <c r="A229" s="185"/>
      <c r="B229" s="186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263"/>
      <c r="P229" s="263"/>
      <c r="Q229" s="263"/>
      <c r="R229" s="263"/>
      <c r="S229" s="263"/>
      <c r="T229" s="263"/>
      <c r="U229" s="263"/>
      <c r="V229" s="263"/>
      <c r="W229" s="263"/>
      <c r="X229" s="263"/>
      <c r="Y229" s="263"/>
      <c r="Z229" s="263"/>
      <c r="AA229" s="263"/>
      <c r="AB229" s="263"/>
      <c r="AC229" s="263"/>
      <c r="AD229" s="263"/>
      <c r="AE229" s="263"/>
      <c r="AF229" s="263"/>
      <c r="AG229" s="263"/>
      <c r="AH229" s="185"/>
      <c r="AI229" s="185"/>
      <c r="AJ229" s="185"/>
      <c r="AK229" s="185"/>
      <c r="AL229" s="185"/>
      <c r="AM229" s="185"/>
      <c r="AN229" s="185"/>
      <c r="AO229" s="185"/>
      <c r="AP229" s="185"/>
      <c r="AQ229" s="185"/>
    </row>
    <row r="230" spans="1:43" s="187" customFormat="1" x14ac:dyDescent="0.3">
      <c r="A230" s="185"/>
      <c r="B230" s="186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</row>
    <row r="231" spans="1:43" s="187" customFormat="1" x14ac:dyDescent="0.3">
      <c r="A231" s="185"/>
      <c r="B231" s="186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5"/>
      <c r="AL231" s="185"/>
      <c r="AM231" s="185"/>
      <c r="AN231" s="185"/>
      <c r="AO231" s="185"/>
      <c r="AP231" s="185"/>
      <c r="AQ231" s="185"/>
    </row>
    <row r="232" spans="1:43" s="187" customFormat="1" x14ac:dyDescent="0.3">
      <c r="A232" s="185"/>
      <c r="B232" s="186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5"/>
      <c r="AB232" s="185"/>
      <c r="AC232" s="185"/>
      <c r="AD232" s="185"/>
      <c r="AE232" s="185"/>
      <c r="AF232" s="185"/>
      <c r="AG232" s="185"/>
      <c r="AH232" s="185"/>
      <c r="AI232" s="185"/>
      <c r="AJ232" s="185"/>
      <c r="AK232" s="185"/>
      <c r="AL232" s="185"/>
      <c r="AM232" s="185"/>
      <c r="AN232" s="185"/>
      <c r="AO232" s="185"/>
      <c r="AP232" s="185"/>
      <c r="AQ232" s="185"/>
    </row>
    <row r="233" spans="1:43" s="187" customFormat="1" x14ac:dyDescent="0.3">
      <c r="A233" s="185"/>
      <c r="B233" s="186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  <c r="AA233" s="185"/>
      <c r="AB233" s="185"/>
      <c r="AC233" s="185"/>
      <c r="AD233" s="185"/>
      <c r="AE233" s="185"/>
      <c r="AF233" s="185"/>
      <c r="AG233" s="185"/>
      <c r="AH233" s="185"/>
      <c r="AI233" s="185"/>
      <c r="AJ233" s="185"/>
      <c r="AK233" s="185"/>
      <c r="AL233" s="185"/>
      <c r="AM233" s="185"/>
      <c r="AN233" s="185"/>
      <c r="AO233" s="185"/>
      <c r="AP233" s="185"/>
      <c r="AQ233" s="185"/>
    </row>
    <row r="234" spans="1:43" s="187" customFormat="1" x14ac:dyDescent="0.3">
      <c r="A234" s="185"/>
      <c r="B234" s="186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  <c r="AA234" s="185"/>
      <c r="AB234" s="185"/>
      <c r="AC234" s="185"/>
      <c r="AD234" s="185"/>
      <c r="AE234" s="185"/>
      <c r="AF234" s="185"/>
      <c r="AG234" s="185"/>
      <c r="AH234" s="185"/>
      <c r="AI234" s="185"/>
      <c r="AJ234" s="185"/>
      <c r="AK234" s="185"/>
      <c r="AL234" s="185"/>
      <c r="AM234" s="185"/>
      <c r="AN234" s="185"/>
      <c r="AO234" s="185"/>
      <c r="AP234" s="185"/>
      <c r="AQ234" s="185"/>
    </row>
    <row r="235" spans="1:43" s="187" customFormat="1" x14ac:dyDescent="0.3">
      <c r="A235" s="185"/>
      <c r="B235" s="186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  <c r="AA235" s="185"/>
      <c r="AB235" s="185"/>
      <c r="AC235" s="185"/>
      <c r="AD235" s="185"/>
      <c r="AE235" s="185"/>
      <c r="AF235" s="185"/>
      <c r="AG235" s="185"/>
      <c r="AH235" s="185"/>
      <c r="AI235" s="185"/>
      <c r="AJ235" s="185"/>
      <c r="AK235" s="185"/>
      <c r="AL235" s="185"/>
      <c r="AM235" s="185"/>
      <c r="AN235" s="185"/>
      <c r="AO235" s="185"/>
      <c r="AP235" s="185"/>
      <c r="AQ235" s="185"/>
    </row>
    <row r="236" spans="1:43" s="187" customFormat="1" x14ac:dyDescent="0.3">
      <c r="A236" s="185"/>
      <c r="B236" s="186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85"/>
      <c r="AB236" s="185"/>
      <c r="AC236" s="185"/>
      <c r="AD236" s="185"/>
      <c r="AE236" s="185"/>
      <c r="AF236" s="185"/>
      <c r="AG236" s="185"/>
      <c r="AH236" s="185"/>
      <c r="AI236" s="185"/>
      <c r="AJ236" s="185"/>
      <c r="AK236" s="185"/>
      <c r="AL236" s="185"/>
      <c r="AM236" s="185"/>
      <c r="AN236" s="185"/>
      <c r="AO236" s="185"/>
      <c r="AP236" s="185"/>
      <c r="AQ236" s="185"/>
    </row>
    <row r="237" spans="1:43" s="187" customFormat="1" x14ac:dyDescent="0.3">
      <c r="A237" s="185"/>
      <c r="B237" s="186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  <c r="AA237" s="185"/>
      <c r="AB237" s="185"/>
      <c r="AC237" s="185"/>
      <c r="AD237" s="185"/>
      <c r="AE237" s="185"/>
      <c r="AF237" s="185"/>
      <c r="AG237" s="185"/>
      <c r="AH237" s="185"/>
      <c r="AI237" s="185"/>
      <c r="AJ237" s="185"/>
      <c r="AK237" s="185"/>
      <c r="AL237" s="185"/>
      <c r="AM237" s="185"/>
      <c r="AN237" s="185"/>
      <c r="AO237" s="185"/>
      <c r="AP237" s="185"/>
      <c r="AQ237" s="185"/>
    </row>
    <row r="238" spans="1:43" s="187" customFormat="1" x14ac:dyDescent="0.3">
      <c r="A238" s="185"/>
      <c r="B238" s="186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  <c r="AA238" s="185"/>
      <c r="AB238" s="185"/>
      <c r="AC238" s="185"/>
      <c r="AD238" s="185"/>
      <c r="AE238" s="185"/>
      <c r="AF238" s="185"/>
      <c r="AG238" s="185"/>
      <c r="AH238" s="185"/>
      <c r="AI238" s="185"/>
      <c r="AJ238" s="185"/>
      <c r="AK238" s="185"/>
      <c r="AL238" s="185"/>
      <c r="AM238" s="185"/>
      <c r="AN238" s="185"/>
      <c r="AO238" s="185"/>
      <c r="AP238" s="185"/>
      <c r="AQ238" s="185"/>
    </row>
    <row r="239" spans="1:43" s="187" customFormat="1" x14ac:dyDescent="0.3">
      <c r="A239" s="185"/>
      <c r="B239" s="186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  <c r="AA239" s="185"/>
      <c r="AB239" s="185"/>
      <c r="AC239" s="185"/>
      <c r="AD239" s="185"/>
      <c r="AE239" s="185"/>
      <c r="AF239" s="185"/>
      <c r="AG239" s="185"/>
      <c r="AH239" s="185"/>
      <c r="AI239" s="185"/>
      <c r="AJ239" s="185"/>
      <c r="AK239" s="185"/>
      <c r="AL239" s="185"/>
      <c r="AM239" s="185"/>
      <c r="AN239" s="185"/>
      <c r="AO239" s="185"/>
      <c r="AP239" s="185"/>
      <c r="AQ239" s="185"/>
    </row>
    <row r="240" spans="1:43" s="187" customFormat="1" x14ac:dyDescent="0.3">
      <c r="A240" s="185"/>
      <c r="B240" s="186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</row>
  </sheetData>
  <sheetProtection algorithmName="SHA-512" hashValue="jCcipgCUj8TunDzZvLKjYtRlsAZ3MvGPeemqmO5fEb4o8WrHPTg6443CMmdJRXbHI77vH3kUfDxwdOd73ShTgQ==" saltValue="ePtu8Kl/uBl7trh6j5/a4w==" spinCount="100000" sheet="1" objects="1" scenarios="1"/>
  <mergeCells count="28">
    <mergeCell ref="A40:B40"/>
    <mergeCell ref="I56:J56"/>
    <mergeCell ref="H69:I69"/>
    <mergeCell ref="E70:F70"/>
    <mergeCell ref="B92:D92"/>
    <mergeCell ref="E92:G92"/>
    <mergeCell ref="H92:J92"/>
    <mergeCell ref="V14:W14"/>
    <mergeCell ref="B15:D15"/>
    <mergeCell ref="B16:D16"/>
    <mergeCell ref="B17:D17"/>
    <mergeCell ref="A36:A37"/>
    <mergeCell ref="B36:M37"/>
    <mergeCell ref="K25:L26"/>
    <mergeCell ref="A24:B24"/>
    <mergeCell ref="B14:D14"/>
    <mergeCell ref="V13:W13"/>
    <mergeCell ref="C1:L1"/>
    <mergeCell ref="B2:E2"/>
    <mergeCell ref="G2:H2"/>
    <mergeCell ref="K2:L2"/>
    <mergeCell ref="A5:B5"/>
    <mergeCell ref="C7:D7"/>
    <mergeCell ref="C9:D9"/>
    <mergeCell ref="C11:D11"/>
    <mergeCell ref="J11:K11"/>
    <mergeCell ref="J12:K12"/>
    <mergeCell ref="B13:D13"/>
  </mergeCells>
  <conditionalFormatting sqref="B56">
    <cfRule type="expression" dxfId="53" priority="21">
      <formula>B56=$W$55</formula>
    </cfRule>
  </conditionalFormatting>
  <conditionalFormatting sqref="B57 B59 B61 B63 B65 B67">
    <cfRule type="containsText" dxfId="52" priority="13" operator="containsText" text="Missing Information">
      <formula>NOT(ISERROR(SEARCH("Missing Information",B57)))</formula>
    </cfRule>
    <cfRule type="containsText" dxfId="51" priority="14" operator="containsText" text="N/A">
      <formula>NOT(ISERROR(SEARCH("N/A",B57)))</formula>
    </cfRule>
  </conditionalFormatting>
  <conditionalFormatting sqref="B57">
    <cfRule type="expression" dxfId="50" priority="20">
      <formula>B57=$W$54</formula>
    </cfRule>
  </conditionalFormatting>
  <conditionalFormatting sqref="B59">
    <cfRule type="expression" dxfId="49" priority="19">
      <formula>B59=$W$54</formula>
    </cfRule>
  </conditionalFormatting>
  <conditionalFormatting sqref="B61">
    <cfRule type="expression" dxfId="48" priority="18">
      <formula>B61=$W$54</formula>
    </cfRule>
  </conditionalFormatting>
  <conditionalFormatting sqref="B63">
    <cfRule type="expression" dxfId="47" priority="17">
      <formula>B63=$W$54</formula>
    </cfRule>
  </conditionalFormatting>
  <conditionalFormatting sqref="B65">
    <cfRule type="expression" dxfId="46" priority="16">
      <formula>B65=$W$54</formula>
    </cfRule>
  </conditionalFormatting>
  <conditionalFormatting sqref="B67">
    <cfRule type="expression" dxfId="45" priority="15">
      <formula>B67=$W$54</formula>
    </cfRule>
  </conditionalFormatting>
  <conditionalFormatting sqref="C95">
    <cfRule type="containsText" dxfId="44" priority="28" stopIfTrue="1" operator="containsText" text="No">
      <formula>NOT(ISERROR(SEARCH("No",C95)))</formula>
    </cfRule>
  </conditionalFormatting>
  <conditionalFormatting sqref="C97 F97 I97 C99 F99 I99">
    <cfRule type="containsText" dxfId="43" priority="27" stopIfTrue="1" operator="containsText" text="No">
      <formula>NOT(ISERROR(SEARCH("No",C97)))</formula>
    </cfRule>
  </conditionalFormatting>
  <conditionalFormatting sqref="D27:E27 D28:G32">
    <cfRule type="expression" dxfId="42" priority="23">
      <formula>$X27=1</formula>
    </cfRule>
  </conditionalFormatting>
  <conditionalFormatting sqref="D69:H69 K69:L69">
    <cfRule type="containsText" dxfId="41" priority="32" operator="containsText" text="(4) The indicated Market Contribution exceeds the Maximal Market Contribution.">
      <formula>NOT(ISERROR(SEARCH("(4) The indicated Market Contribution exceeds the Maximal Market Contribution.",D69)))</formula>
    </cfRule>
  </conditionalFormatting>
  <conditionalFormatting sqref="E15:E16">
    <cfRule type="containsText" dxfId="40" priority="24" operator="containsText" text="Non">
      <formula>NOT(ISERROR(SEARCH("Non",E15)))</formula>
    </cfRule>
  </conditionalFormatting>
  <conditionalFormatting sqref="E72:E74">
    <cfRule type="containsText" dxfId="39" priority="5" operator="containsText" text="No">
      <formula>NOT(ISERROR(SEARCH("No",E72)))</formula>
    </cfRule>
  </conditionalFormatting>
  <conditionalFormatting sqref="E76:E77">
    <cfRule type="containsText" dxfId="38" priority="1" operator="containsText" text="No">
      <formula>NOT(ISERROR(SEARCH("No",E76)))</formula>
    </cfRule>
  </conditionalFormatting>
  <conditionalFormatting sqref="E79">
    <cfRule type="containsText" dxfId="37" priority="3" operator="containsText" text="No">
      <formula>NOT(ISERROR(SEARCH("No",E79)))</formula>
    </cfRule>
  </conditionalFormatting>
  <conditionalFormatting sqref="E81:E87">
    <cfRule type="containsText" dxfId="36" priority="4" operator="containsText" text="No">
      <formula>NOT(ISERROR(SEARCH("No",E81)))</formula>
    </cfRule>
  </conditionalFormatting>
  <conditionalFormatting sqref="E89">
    <cfRule type="containsText" dxfId="35" priority="2" operator="containsText" text="No">
      <formula>NOT(ISERROR(SEARCH("No",E89)))</formula>
    </cfRule>
  </conditionalFormatting>
  <conditionalFormatting sqref="F88">
    <cfRule type="containsText" dxfId="34" priority="26" operator="containsText" text="No">
      <formula>NOT(ISERROR(SEARCH("No",F88)))</formula>
    </cfRule>
  </conditionalFormatting>
  <conditionalFormatting sqref="F95 I95">
    <cfRule type="containsText" dxfId="33" priority="30" stopIfTrue="1" operator="containsText" text="No">
      <formula>NOT(ISERROR(SEARCH("No",F95)))</formula>
    </cfRule>
  </conditionalFormatting>
  <conditionalFormatting sqref="H57">
    <cfRule type="expression" dxfId="32" priority="12">
      <formula>$H$56&lt;$B$56</formula>
    </cfRule>
  </conditionalFormatting>
  <conditionalFormatting sqref="H59">
    <cfRule type="expression" dxfId="31" priority="11">
      <formula>$H$58&lt;$B$58</formula>
    </cfRule>
  </conditionalFormatting>
  <conditionalFormatting sqref="H61">
    <cfRule type="expression" dxfId="30" priority="10">
      <formula>$H$60&lt;$B$60</formula>
    </cfRule>
  </conditionalFormatting>
  <conditionalFormatting sqref="H63">
    <cfRule type="expression" dxfId="29" priority="9">
      <formula>$H$62&lt;$B$62</formula>
    </cfRule>
  </conditionalFormatting>
  <conditionalFormatting sqref="H65">
    <cfRule type="expression" dxfId="28" priority="8">
      <formula>$H$64&lt;$B$64</formula>
    </cfRule>
  </conditionalFormatting>
  <conditionalFormatting sqref="H67">
    <cfRule type="expression" dxfId="27" priority="7">
      <formula>$H$66&lt;$B$66</formula>
    </cfRule>
  </conditionalFormatting>
  <conditionalFormatting sqref="H49:J49 H50 J50:K50">
    <cfRule type="expression" dxfId="26" priority="31">
      <formula>$K$49&lt;&gt;""</formula>
    </cfRule>
  </conditionalFormatting>
  <conditionalFormatting sqref="I50">
    <cfRule type="expression" dxfId="25" priority="6">
      <formula>$I$48&lt;&gt;""</formula>
    </cfRule>
  </conditionalFormatting>
  <conditionalFormatting sqref="K49">
    <cfRule type="expression" dxfId="24" priority="25">
      <formula>$I$41&lt;&gt;""</formula>
    </cfRule>
  </conditionalFormatting>
  <conditionalFormatting sqref="K27:L32">
    <cfRule type="expression" dxfId="23" priority="22">
      <formula>$D27&gt;0</formula>
    </cfRule>
  </conditionalFormatting>
  <conditionalFormatting sqref="X13">
    <cfRule type="containsText" dxfId="22" priority="29" operator="containsText" text="Non">
      <formula>NOT(ISERROR(SEARCH("Non",X13)))</formula>
    </cfRule>
  </conditionalFormatting>
  <dataValidations count="15">
    <dataValidation type="decimal" allowBlank="1" showInputMessage="1" showErrorMessage="1" errorTitle="Not a number" error="Enter the Envelope Contribution for this licence" sqref="G28 E27:E28 E30:E31 D27:D32" xr:uid="{000948D6-BE1A-4E25-8370-742EC5ABF33C}">
      <formula1>0</formula1>
      <formula2>999999999999999</formula2>
    </dataValidation>
    <dataValidation type="whole" allowBlank="1" showInputMessage="1" showErrorMessage="1" errorTitle="Not a number" error="Enter the Envelope Contribution for this licence" sqref="E48" xr:uid="{95F3FB81-AC7B-44E2-98AA-04AC83B46139}">
      <formula1>0</formula1>
      <formula2>999999999999999</formula2>
    </dataValidation>
    <dataValidation type="whole" allowBlank="1" showInputMessage="1" showErrorMessage="1" error="le montanmt doit être égale ou plus petit que le maximum permis (15% du budget ou 225 000)_x000a__x000a__x000a_" sqref="D35" xr:uid="{AC6CB8BF-44D8-4D8B-A308-83ED6D9FC214}">
      <formula1>0</formula1>
      <formula2>C35</formula2>
    </dataValidation>
    <dataValidation type="list" allowBlank="1" showInputMessage="1" showErrorMessage="1" sqref="E10" xr:uid="{EC448DB1-C89F-4B52-A627-D113D3E8FC2E}">
      <formula1>$L$79:$L$81</formula1>
    </dataValidation>
    <dataValidation type="list" allowBlank="1" showInputMessage="1" showErrorMessage="1" sqref="E9 X13 E11" xr:uid="{7AC105BB-1FE4-4B37-BF6E-D4515B6C1C62}">
      <formula1>$K$71:$K$73</formula1>
    </dataValidation>
    <dataValidation type="date" allowBlank="1" showInputMessage="1" showErrorMessage="1" promptTitle="Date" prompt="ex. Y-M-D" sqref="H27:H32" xr:uid="{A2A39E44-E84E-4ECA-8284-B33544D1B121}">
      <formula1>36526</formula1>
      <formula2>401749</formula2>
    </dataValidation>
    <dataValidation type="whole" allowBlank="1" showInputMessage="1" showErrorMessage="1" promptTitle="# of months" prompt="Enter the licence term in months. Equations are allowable (i.e. =6*12)" sqref="J27:J32" xr:uid="{4A45ED9E-D5DE-4D9B-882E-19FC8D5072FB}">
      <formula1>1</formula1>
      <formula2>999</formula2>
    </dataValidation>
    <dataValidation allowBlank="1" showInputMessage="1" showErrorMessage="1" promptTitle="Intl. Entity MMC" prompt="For C&amp;Y the ELF and MMC must be at least 75% of Threshold. Also see note (3)." sqref="K49" xr:uid="{03F7078D-061C-4A54-9792-BA6DB6ED657A}"/>
    <dataValidation type="custom" showInputMessage="1" showErrorMessage="1" error="Please do not delete" sqref="A70" xr:uid="{F548A163-A280-4A21-B559-94461999A324}">
      <formula1>""</formula1>
    </dataValidation>
    <dataValidation allowBlank="1" showInputMessage="1" showErrorMessage="1" promptTitle="OLMC Owner" prompt="At least 51% of the Applicant company’s ownership and the Project’s copyright are retained by an individual producer (or multiple producers) that self-identify as a member of the English Language Community in Quebec and who resides in Quebec" sqref="A15:A16" xr:uid="{43AF1A92-2119-44FB-8218-07F8B4888BDD}"/>
    <dataValidation allowBlank="1" showInputMessage="1" showErrorMessage="1" prompt="Please enter first broadcasters and distributors, see note (1) here-above" sqref="F27:G27" xr:uid="{0027EF0B-0443-4F61-9179-CB0E373F915C}"/>
    <dataValidation type="decimal" allowBlank="1" showErrorMessage="1" errorTitle="Not a number" error="Enter the Envelope Contribution for this licence" sqref="E29" xr:uid="{EC713B64-0D23-43AC-903A-0DEA217CA4F5}">
      <formula1>0</formula1>
      <formula2>999999999999999</formula2>
    </dataValidation>
    <dataValidation type="list" allowBlank="1" showInputMessage="1" showErrorMessage="1" sqref="L27:L32" xr:uid="{1517399B-5315-4C23-90D5-6A648FBA4561}">
      <formula1>$K$70:$K$72</formula1>
    </dataValidation>
    <dataValidation type="list" allowBlank="1" showInputMessage="1" showErrorMessage="1" sqref="K27:K32" xr:uid="{4DEE2E43-1EFC-440F-B676-55B1336D8684}">
      <formula1>$J$70:$J$72</formula1>
    </dataValidation>
    <dataValidation allowBlank="1" showInputMessage="1" showErrorMessage="1" promptTitle="Intl. Entity EFC" prompt="For C&amp;Y and Doc., the ELF and EDA must be at least 75% of Threshold. Also see note (2)" sqref="I52" xr:uid="{7637356F-B886-41C6-8F23-A506F454CF36}"/>
  </dataValidations>
  <printOptions horizontalCentered="1"/>
  <pageMargins left="0.23622047244094491" right="0.23622047244094491" top="0.74803149606299213" bottom="0.74803149606299213" header="0.31496062992125984" footer="0.31496062992125984"/>
  <pageSetup scale="70" fitToHeight="3" orientation="landscape" r:id="rId1"/>
  <headerFooter alignWithMargins="0"/>
  <rowBreaks count="2" manualBreakCount="2">
    <brk id="38" max="10" man="1"/>
    <brk id="67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locked="0" defaultSize="0" autoLine="0" autoPict="0">
                <anchor moveWithCells="1">
                  <from>
                    <xdr:col>2</xdr:col>
                    <xdr:colOff>22860</xdr:colOff>
                    <xdr:row>3</xdr:row>
                    <xdr:rowOff>266700</xdr:rowOff>
                  </from>
                  <to>
                    <xdr:col>5</xdr:col>
                    <xdr:colOff>480060</xdr:colOff>
                    <xdr:row>5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6CC8-A47E-4AE2-AD4A-6504B30FD9E5}">
  <sheetPr codeName="Feuil2">
    <tabColor rgb="FF00B0F0"/>
  </sheetPr>
  <dimension ref="A1:AR239"/>
  <sheetViews>
    <sheetView zoomScaleNormal="100" zoomScaleSheetLayoutView="100" workbookViewId="0">
      <selection activeCell="B2" sqref="B2:E2"/>
    </sheetView>
  </sheetViews>
  <sheetFormatPr baseColWidth="10" defaultColWidth="8.90625" defaultRowHeight="13.8" x14ac:dyDescent="0.3"/>
  <cols>
    <col min="1" max="1" width="11.6328125" style="7" customWidth="1"/>
    <col min="2" max="2" width="17.6328125" style="8" customWidth="1"/>
    <col min="3" max="3" width="14.81640625" style="7" customWidth="1"/>
    <col min="4" max="4" width="13.453125" style="7" customWidth="1"/>
    <col min="5" max="9" width="12.36328125" style="7" customWidth="1"/>
    <col min="10" max="11" width="10.81640625" style="7" customWidth="1"/>
    <col min="12" max="12" width="10.90625" style="7" customWidth="1"/>
    <col min="13" max="13" width="13.54296875" style="7" customWidth="1"/>
    <col min="14" max="21" width="1.6328125" style="7" hidden="1" customWidth="1"/>
    <col min="22" max="26" width="8.90625" style="7" hidden="1" customWidth="1"/>
    <col min="27" max="27" width="8.90625" style="7" customWidth="1"/>
    <col min="28" max="28" width="17.81640625" style="7" customWidth="1"/>
    <col min="29" max="29" width="9.7265625" style="7" bestFit="1" customWidth="1"/>
    <col min="30" max="43" width="8.90625" style="7"/>
    <col min="44" max="16384" width="8.90625" style="54"/>
  </cols>
  <sheetData>
    <row r="1" spans="1:38" s="91" customFormat="1" ht="71.400000000000006" customHeight="1" x14ac:dyDescent="0.3">
      <c r="A1" s="88"/>
      <c r="B1" s="89"/>
      <c r="C1" s="544" t="s">
        <v>168</v>
      </c>
      <c r="D1" s="544"/>
      <c r="E1" s="544"/>
      <c r="F1" s="544"/>
      <c r="G1" s="544"/>
      <c r="H1" s="544"/>
      <c r="I1" s="544"/>
      <c r="J1" s="544"/>
      <c r="K1" s="544"/>
      <c r="L1" s="545"/>
      <c r="M1" s="90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</row>
    <row r="2" spans="1:38" s="14" customFormat="1" ht="32.1" customHeight="1" x14ac:dyDescent="0.25">
      <c r="A2" s="77" t="s">
        <v>57</v>
      </c>
      <c r="B2" s="546"/>
      <c r="C2" s="547"/>
      <c r="D2" s="547"/>
      <c r="E2" s="548"/>
      <c r="F2" s="77" t="s">
        <v>58</v>
      </c>
      <c r="G2" s="546"/>
      <c r="H2" s="550"/>
      <c r="I2" s="77"/>
      <c r="J2" s="78" t="s">
        <v>59</v>
      </c>
      <c r="K2" s="549"/>
      <c r="L2" s="550"/>
      <c r="M2" s="9"/>
    </row>
    <row r="3" spans="1:38" s="14" customFormat="1" ht="24" customHeight="1" x14ac:dyDescent="0.25">
      <c r="A3" s="47" t="s">
        <v>60</v>
      </c>
      <c r="B3" s="11"/>
      <c r="C3" s="44"/>
      <c r="D3" s="29"/>
      <c r="F3" s="10"/>
      <c r="G3" s="46"/>
      <c r="K3" s="21"/>
      <c r="L3" s="21"/>
      <c r="M3" s="9"/>
    </row>
    <row r="4" spans="1:38" s="7" customFormat="1" ht="17.100000000000001" customHeight="1" x14ac:dyDescent="0.3">
      <c r="A4" s="42"/>
      <c r="B4" s="42"/>
      <c r="C4" s="42"/>
      <c r="G4" s="45"/>
      <c r="H4" s="45"/>
      <c r="I4" s="45"/>
      <c r="J4" s="45"/>
      <c r="K4" s="45"/>
      <c r="L4" s="45"/>
      <c r="M4" s="44"/>
    </row>
    <row r="5" spans="1:38" s="7" customFormat="1" ht="24" customHeight="1" x14ac:dyDescent="0.3">
      <c r="A5" s="553" t="s">
        <v>61</v>
      </c>
      <c r="B5" s="554"/>
      <c r="C5" s="10"/>
      <c r="D5" s="36"/>
      <c r="E5" s="36"/>
      <c r="G5" s="45"/>
      <c r="H5" s="45"/>
      <c r="I5" s="45"/>
      <c r="J5" s="45"/>
      <c r="K5" s="45"/>
      <c r="L5" s="45"/>
      <c r="M5" s="44"/>
    </row>
    <row r="6" spans="1:38" s="7" customFormat="1" ht="17.100000000000001" customHeight="1" x14ac:dyDescent="0.3">
      <c r="A6" s="10"/>
      <c r="B6" s="10"/>
      <c r="C6" s="10"/>
      <c r="D6" s="38"/>
      <c r="E6" s="38"/>
      <c r="F6" s="40"/>
      <c r="G6" s="10"/>
      <c r="H6" s="10"/>
      <c r="I6" s="10"/>
      <c r="J6" s="38"/>
      <c r="K6" s="38"/>
      <c r="L6" s="40"/>
      <c r="M6" s="10"/>
    </row>
    <row r="7" spans="1:38" s="7" customFormat="1" ht="30" customHeight="1" x14ac:dyDescent="0.3">
      <c r="A7" s="43"/>
      <c r="B7" s="43" t="s">
        <v>27</v>
      </c>
      <c r="C7" s="551" t="s">
        <v>62</v>
      </c>
      <c r="D7" s="552"/>
      <c r="E7" s="63"/>
      <c r="F7" s="42" t="s">
        <v>63</v>
      </c>
      <c r="G7" s="64"/>
      <c r="I7" s="80" t="s">
        <v>64</v>
      </c>
      <c r="J7" s="64"/>
      <c r="K7" s="42" t="s">
        <v>65</v>
      </c>
      <c r="L7" s="92">
        <f>(G7*J7)/60</f>
        <v>0</v>
      </c>
      <c r="M7" s="41"/>
    </row>
    <row r="8" spans="1:38" s="10" customFormat="1" ht="20.100000000000001" customHeight="1" x14ac:dyDescent="0.25">
      <c r="D8" s="38"/>
      <c r="E8" s="38"/>
      <c r="F8" s="40"/>
      <c r="K8" s="39" t="s">
        <v>66</v>
      </c>
      <c r="L8" s="93">
        <f>IF(L7=0,0,$E$7/$L$7)</f>
        <v>0</v>
      </c>
    </row>
    <row r="9" spans="1:38" s="10" customFormat="1" ht="30" customHeight="1" x14ac:dyDescent="0.25">
      <c r="C9" s="525" t="s">
        <v>67</v>
      </c>
      <c r="D9" s="526"/>
      <c r="E9" s="6"/>
      <c r="F9" s="1">
        <f>IF(E9="Oui",60%,49%)</f>
        <v>0.49</v>
      </c>
      <c r="G9" s="59"/>
      <c r="H9" s="37"/>
      <c r="I9" s="37"/>
      <c r="J9" s="37"/>
      <c r="K9" s="37"/>
      <c r="L9" s="37"/>
    </row>
    <row r="10" spans="1:38" s="10" customFormat="1" ht="31.95" customHeight="1" x14ac:dyDescent="0.25">
      <c r="C10" s="525" t="s">
        <v>241</v>
      </c>
      <c r="D10" s="526"/>
      <c r="E10" s="397"/>
      <c r="F10" s="40"/>
      <c r="J10" s="521" t="s">
        <v>70</v>
      </c>
      <c r="K10" s="522"/>
      <c r="L10" s="98" t="str">
        <f>IF(OR(A70=1,A70=18,N(E$7)=0,L$8=0),"",
IF(AND(AND(A$70&gt;11,A$70&lt;16),L8&gt;=800000),"Oui",
IF(AND(OR(A$70=2,A$70=3,A$70=10,A$70=11),L8&gt;=750000),"Oui",
IF(AND(AND(A$70&gt;5,A$70&lt;10),L8&gt;=400000),"Oui",
"Non"))))</f>
        <v/>
      </c>
      <c r="M10" s="99" t="str">
        <f>IFERROR(IF(L10="Oui","S/O pour les productions d’animation",""),"")</f>
        <v/>
      </c>
    </row>
    <row r="11" spans="1:38" s="10" customFormat="1" ht="31.95" customHeight="1" x14ac:dyDescent="0.25">
      <c r="F11" s="40"/>
      <c r="J11" s="521" t="s">
        <v>71</v>
      </c>
      <c r="K11" s="522"/>
      <c r="L11" s="3" t="str">
        <f>IF(N(E$7)=0,"",IF(E$7&gt;500000,"Oui","Non"))</f>
        <v/>
      </c>
      <c r="M11" s="99" t="str">
        <f>IFERROR(IF(L11="Oui","S/O pour les productions tournées en direct",""),"")</f>
        <v/>
      </c>
    </row>
    <row r="12" spans="1:38" s="67" customFormat="1" ht="31.95" customHeight="1" x14ac:dyDescent="0.25">
      <c r="B12" s="523" t="s">
        <v>192</v>
      </c>
      <c r="C12" s="524"/>
      <c r="D12" s="524"/>
      <c r="E12" s="60"/>
      <c r="F12" s="68"/>
      <c r="G12"/>
      <c r="H12"/>
      <c r="I12"/>
    </row>
    <row r="13" spans="1:38" s="67" customFormat="1" ht="31.95" customHeight="1" x14ac:dyDescent="0.25">
      <c r="B13" s="523" t="s">
        <v>170</v>
      </c>
      <c r="C13" s="524"/>
      <c r="D13" s="524"/>
      <c r="E13" s="453" t="str">
        <f>IF($E$7&gt;0,ROUND($E$7*0.01,0),"")</f>
        <v/>
      </c>
      <c r="F13" s="68"/>
      <c r="I13" s="70"/>
      <c r="V13" s="527" t="s">
        <v>210</v>
      </c>
      <c r="W13" s="527"/>
      <c r="X13" s="527"/>
      <c r="Y13" s="2" t="s">
        <v>69</v>
      </c>
    </row>
    <row r="14" spans="1:38" s="67" customFormat="1" ht="31.95" customHeight="1" x14ac:dyDescent="0.25">
      <c r="B14" s="523" t="s">
        <v>169</v>
      </c>
      <c r="C14" s="523"/>
      <c r="D14" s="523"/>
      <c r="E14" s="454" t="str">
        <f>IF(E$13="","",ROUND(E$12-E$13,0))</f>
        <v/>
      </c>
      <c r="F14" s="68"/>
      <c r="I14" s="70"/>
      <c r="M14" s="68"/>
      <c r="V14" s="527" t="s">
        <v>239</v>
      </c>
      <c r="W14" s="527"/>
      <c r="X14" s="527"/>
      <c r="Y14" s="393">
        <f>MAX(0,C33-C26)</f>
        <v>0</v>
      </c>
    </row>
    <row r="15" spans="1:38" s="70" customFormat="1" ht="31.95" customHeight="1" x14ac:dyDescent="0.25">
      <c r="B15" s="527" t="s">
        <v>72</v>
      </c>
      <c r="C15" s="527"/>
      <c r="D15" s="527"/>
      <c r="E15" s="94"/>
      <c r="F15" s="68"/>
      <c r="J15" s="66"/>
      <c r="K15" s="69"/>
      <c r="L15" s="66"/>
      <c r="M15" s="66"/>
    </row>
    <row r="16" spans="1:38" s="67" customFormat="1" ht="14.4" hidden="1" x14ac:dyDescent="0.25">
      <c r="A16" s="71"/>
      <c r="B16" s="72"/>
      <c r="C16" s="72"/>
      <c r="D16" s="72"/>
      <c r="F16" s="73"/>
      <c r="G16" s="73"/>
      <c r="H16" s="73"/>
      <c r="I16" s="70"/>
      <c r="J16" s="68"/>
      <c r="K16" s="68"/>
      <c r="L16" s="68"/>
    </row>
    <row r="17" spans="1:44" s="67" customFormat="1" ht="14.4" hidden="1" x14ac:dyDescent="0.25">
      <c r="A17" s="71"/>
      <c r="B17" s="72"/>
      <c r="C17" s="72"/>
      <c r="D17" s="72"/>
      <c r="F17" s="73"/>
      <c r="G17" s="73"/>
      <c r="H17" s="73"/>
      <c r="I17" s="70"/>
      <c r="J17" s="68"/>
      <c r="K17" s="68"/>
      <c r="L17" s="68"/>
    </row>
    <row r="18" spans="1:44" s="67" customFormat="1" ht="14.4" hidden="1" x14ac:dyDescent="0.25">
      <c r="A18" s="71"/>
      <c r="B18" s="72"/>
      <c r="C18" s="72"/>
      <c r="D18" s="72"/>
      <c r="F18" s="73"/>
      <c r="G18" s="73"/>
      <c r="H18" s="73"/>
      <c r="I18" s="70"/>
      <c r="J18" s="68"/>
      <c r="K18" s="68"/>
      <c r="L18" s="68"/>
    </row>
    <row r="19" spans="1:44" s="67" customFormat="1" ht="14.4" hidden="1" x14ac:dyDescent="0.25">
      <c r="A19" s="71"/>
      <c r="B19" s="72"/>
      <c r="C19" s="72"/>
      <c r="D19" s="72"/>
      <c r="F19" s="73"/>
      <c r="G19" s="73"/>
      <c r="H19" s="73"/>
      <c r="I19" s="70"/>
      <c r="J19" s="68"/>
      <c r="K19" s="68"/>
      <c r="L19" s="68"/>
    </row>
    <row r="20" spans="1:44" s="67" customFormat="1" ht="17.100000000000001" customHeight="1" x14ac:dyDescent="0.3">
      <c r="A20" s="61"/>
      <c r="B20" s="72"/>
      <c r="C20" s="72"/>
      <c r="D20" s="72"/>
      <c r="F20" s="73"/>
      <c r="G20" s="73"/>
      <c r="H20" s="73"/>
      <c r="I20" s="70"/>
      <c r="J20" s="68"/>
      <c r="K20" s="68"/>
      <c r="L20" s="68"/>
    </row>
    <row r="21" spans="1:44" s="262" customFormat="1" x14ac:dyDescent="0.25">
      <c r="A21" s="260" t="s">
        <v>171</v>
      </c>
      <c r="B21" s="10"/>
      <c r="C21" s="36"/>
      <c r="D21" s="38"/>
      <c r="E21" s="38"/>
      <c r="F21" s="38"/>
      <c r="G21" s="37"/>
      <c r="H21" s="37"/>
      <c r="I21" s="37"/>
      <c r="J21" s="37"/>
      <c r="K21" s="37"/>
      <c r="L21" s="10"/>
      <c r="M21" s="10"/>
      <c r="N21" s="9"/>
      <c r="O21" s="9"/>
      <c r="P21" s="9"/>
      <c r="Q21" s="9"/>
      <c r="R21" s="9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</row>
    <row r="22" spans="1:44" s="262" customFormat="1" x14ac:dyDescent="0.25">
      <c r="A22" s="260" t="s">
        <v>172</v>
      </c>
      <c r="B22" s="10"/>
      <c r="C22" s="36"/>
      <c r="D22" s="38"/>
      <c r="E22" s="38"/>
      <c r="F22" s="38"/>
      <c r="G22" s="37"/>
      <c r="H22" s="37"/>
      <c r="I22" s="37"/>
      <c r="J22" s="37"/>
      <c r="K22" s="37"/>
      <c r="L22" s="10"/>
      <c r="M22" s="10"/>
      <c r="N22" s="9"/>
      <c r="O22" s="9"/>
      <c r="P22" s="9"/>
      <c r="Q22" s="9"/>
      <c r="R22" s="9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</row>
    <row r="23" spans="1:44" s="262" customFormat="1" ht="18.75" customHeight="1" x14ac:dyDescent="0.25">
      <c r="A23" s="278" t="s">
        <v>191</v>
      </c>
      <c r="B23" s="10"/>
      <c r="C23" s="10"/>
      <c r="D23" s="22"/>
      <c r="E23" s="35"/>
      <c r="F23" s="35"/>
      <c r="G23" s="34"/>
      <c r="H23" s="10"/>
      <c r="I23" s="263"/>
      <c r="J23" s="263"/>
      <c r="K23" s="263"/>
      <c r="L23" s="263"/>
      <c r="M23" s="9"/>
      <c r="N23" s="9"/>
      <c r="O23" s="9"/>
      <c r="P23" s="9"/>
      <c r="Q23" s="9"/>
      <c r="R23" s="9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</row>
    <row r="24" spans="1:44" s="10" customFormat="1" ht="78.45" customHeight="1" x14ac:dyDescent="0.3">
      <c r="A24" s="528" t="s">
        <v>174</v>
      </c>
      <c r="B24" s="529"/>
      <c r="C24" s="264" t="s">
        <v>175</v>
      </c>
      <c r="D24" s="74" t="s">
        <v>176</v>
      </c>
      <c r="E24" s="74" t="s">
        <v>177</v>
      </c>
      <c r="F24" s="5" t="s">
        <v>178</v>
      </c>
      <c r="G24" s="5" t="s">
        <v>141</v>
      </c>
      <c r="H24" s="56" t="s">
        <v>73</v>
      </c>
      <c r="I24" s="56" t="s">
        <v>74</v>
      </c>
      <c r="J24" s="13" t="s">
        <v>75</v>
      </c>
      <c r="K24" s="273" t="s">
        <v>184</v>
      </c>
      <c r="L24" s="273" t="s">
        <v>185</v>
      </c>
      <c r="M24" s="13" t="s">
        <v>77</v>
      </c>
      <c r="N24"/>
      <c r="O24"/>
      <c r="V24" s="191" t="s">
        <v>76</v>
      </c>
      <c r="W24" s="344" t="s">
        <v>228</v>
      </c>
    </row>
    <row r="25" spans="1:44" customFormat="1" ht="15" customHeight="1" x14ac:dyDescent="0.25">
      <c r="A25" s="304"/>
      <c r="B25" s="305"/>
      <c r="C25" s="305"/>
      <c r="D25" s="345"/>
      <c r="E25" s="346"/>
      <c r="F25" s="306"/>
      <c r="G25" s="306"/>
      <c r="H25" s="307"/>
      <c r="I25" s="307"/>
      <c r="J25" s="307"/>
      <c r="K25" s="539" t="s">
        <v>186</v>
      </c>
      <c r="L25" s="540"/>
      <c r="M25" s="347"/>
    </row>
    <row r="26" spans="1:44" s="10" customFormat="1" ht="19.95" customHeight="1" x14ac:dyDescent="0.25">
      <c r="A26" s="348"/>
      <c r="B26" s="349" t="s">
        <v>78</v>
      </c>
      <c r="C26" s="350">
        <f>$E$15</f>
        <v>0</v>
      </c>
      <c r="D26" s="351" t="str">
        <f>IF(SUM($X$27:$X$32)&gt;0,$Z$27,"")</f>
        <v/>
      </c>
      <c r="E26" s="352"/>
      <c r="F26" s="309"/>
      <c r="G26" s="309"/>
      <c r="H26" s="309"/>
      <c r="I26" s="309"/>
      <c r="J26" s="309"/>
      <c r="K26" s="541"/>
      <c r="L26" s="542"/>
      <c r="M26" s="353"/>
      <c r="N26"/>
      <c r="O26"/>
      <c r="V26" s="75"/>
      <c r="X26" s="129" t="s">
        <v>217</v>
      </c>
      <c r="Y26" s="312"/>
      <c r="Z26" s="312"/>
      <c r="AA26" s="129"/>
      <c r="AB26" s="129"/>
      <c r="AC26" s="129"/>
    </row>
    <row r="27" spans="1:44" s="10" customFormat="1" ht="18" customHeight="1" x14ac:dyDescent="0.25">
      <c r="A27" s="15" t="s">
        <v>79</v>
      </c>
      <c r="B27" s="4"/>
      <c r="C27" s="265"/>
      <c r="D27" s="265"/>
      <c r="E27" s="265"/>
      <c r="F27" s="354"/>
      <c r="G27" s="354"/>
      <c r="H27" s="255"/>
      <c r="I27" s="100">
        <f t="shared" ref="I27:I32" si="0">DATE(YEAR(H27),(MONTH(H27)+J27),DAY(H27))</f>
        <v>0</v>
      </c>
      <c r="J27" s="33"/>
      <c r="K27" s="315"/>
      <c r="L27" s="316"/>
      <c r="M27" s="32"/>
      <c r="N27"/>
      <c r="O27"/>
      <c r="V27" s="32"/>
      <c r="X27" s="267">
        <f t="shared" ref="X27:X32" si="1">IF(OR(AND(E27&lt;&gt;"",D27&lt;&gt;"",F27&lt;&gt;"",G27&lt;&gt;""),AND(E27&lt;&gt;"",D27&lt;&gt;"",F27&lt;&gt;""),AND(E27&lt;&gt;"",F27&lt;&gt;"",G27&lt;&gt;""),AND(D27&lt;&gt;"",F27&lt;&gt;"",G27&lt;&gt;""),
AND(E27&lt;&gt;"",D27&lt;&gt;""),AND(D27&lt;&gt;"",F27&lt;&gt;""),AND(D27&lt;&gt;"",G27&lt;&gt;""),AND(E27&lt;&gt;"",F27&lt;&gt;""),AND(E27&lt;&gt;"",G27&lt;&gt;""),AND(F27&lt;&gt;"",G27&lt;&gt;""),),1,0)</f>
        <v>0</v>
      </c>
      <c r="Y27" s="268"/>
      <c r="Z27" s="269" t="s">
        <v>229</v>
      </c>
      <c r="AA27" s="267"/>
      <c r="AB27" s="268"/>
      <c r="AC27" s="65"/>
    </row>
    <row r="28" spans="1:44" s="10" customFormat="1" ht="18" customHeight="1" x14ac:dyDescent="0.25">
      <c r="A28" s="15" t="s">
        <v>80</v>
      </c>
      <c r="B28" s="4"/>
      <c r="C28" s="265"/>
      <c r="D28" s="265"/>
      <c r="E28" s="265"/>
      <c r="F28" s="355"/>
      <c r="G28" s="356"/>
      <c r="H28" s="255"/>
      <c r="I28" s="100">
        <f t="shared" si="0"/>
        <v>0</v>
      </c>
      <c r="J28" s="33"/>
      <c r="K28" s="315"/>
      <c r="L28" s="316"/>
      <c r="M28" s="32"/>
      <c r="N28"/>
      <c r="O28"/>
      <c r="V28" s="32"/>
      <c r="X28" s="267">
        <f t="shared" si="1"/>
        <v>0</v>
      </c>
      <c r="Y28" s="268"/>
      <c r="Z28" s="269" t="s">
        <v>230</v>
      </c>
      <c r="AA28" s="267"/>
      <c r="AB28" s="268"/>
      <c r="AC28" s="280"/>
    </row>
    <row r="29" spans="1:44" s="10" customFormat="1" ht="18" customHeight="1" x14ac:dyDescent="0.25">
      <c r="A29" s="15" t="s">
        <v>81</v>
      </c>
      <c r="B29" s="4"/>
      <c r="C29" s="265"/>
      <c r="D29" s="265"/>
      <c r="E29" s="265"/>
      <c r="F29" s="355"/>
      <c r="G29" s="356"/>
      <c r="H29" s="255"/>
      <c r="I29" s="100">
        <f t="shared" si="0"/>
        <v>0</v>
      </c>
      <c r="J29" s="33"/>
      <c r="K29" s="315"/>
      <c r="L29" s="316"/>
      <c r="M29" s="32"/>
      <c r="N29"/>
      <c r="O29"/>
      <c r="V29" s="32"/>
      <c r="X29" s="267">
        <f t="shared" si="1"/>
        <v>0</v>
      </c>
      <c r="Y29" s="268"/>
      <c r="Z29" s="269"/>
      <c r="AA29" s="267"/>
      <c r="AB29" s="268"/>
      <c r="AC29" s="269"/>
    </row>
    <row r="30" spans="1:44" s="10" customFormat="1" ht="18" customHeight="1" x14ac:dyDescent="0.25">
      <c r="A30" s="15" t="s">
        <v>82</v>
      </c>
      <c r="B30" s="4"/>
      <c r="C30" s="265"/>
      <c r="D30" s="265"/>
      <c r="E30" s="265"/>
      <c r="F30" s="313"/>
      <c r="G30" s="314"/>
      <c r="H30" s="255"/>
      <c r="I30" s="100">
        <f t="shared" si="0"/>
        <v>0</v>
      </c>
      <c r="J30" s="33"/>
      <c r="K30" s="315"/>
      <c r="L30" s="316"/>
      <c r="M30" s="32"/>
      <c r="N30"/>
      <c r="O30"/>
      <c r="V30" s="32"/>
      <c r="X30" s="267">
        <f t="shared" si="1"/>
        <v>0</v>
      </c>
      <c r="Y30" s="268"/>
      <c r="Z30" s="269"/>
      <c r="AA30" s="267"/>
      <c r="AB30" s="268"/>
      <c r="AC30" s="269"/>
    </row>
    <row r="31" spans="1:44" s="10" customFormat="1" ht="18" customHeight="1" x14ac:dyDescent="0.25">
      <c r="A31" s="15" t="s">
        <v>83</v>
      </c>
      <c r="B31" s="4"/>
      <c r="C31" s="265"/>
      <c r="D31" s="265"/>
      <c r="E31" s="265"/>
      <c r="F31" s="313"/>
      <c r="G31" s="314"/>
      <c r="H31" s="255"/>
      <c r="I31" s="100">
        <f t="shared" si="0"/>
        <v>0</v>
      </c>
      <c r="J31" s="33"/>
      <c r="K31" s="315"/>
      <c r="L31" s="316"/>
      <c r="M31" s="32"/>
      <c r="N31"/>
      <c r="O31"/>
      <c r="V31" s="32"/>
      <c r="X31" s="267">
        <f t="shared" si="1"/>
        <v>0</v>
      </c>
      <c r="Y31" s="268"/>
      <c r="Z31" s="269"/>
      <c r="AA31" s="267"/>
      <c r="AB31" s="268"/>
      <c r="AC31" s="269"/>
    </row>
    <row r="32" spans="1:44" s="10" customFormat="1" ht="18" customHeight="1" thickBot="1" x14ac:dyDescent="0.3">
      <c r="A32" s="13" t="s">
        <v>84</v>
      </c>
      <c r="B32" s="4"/>
      <c r="C32" s="265"/>
      <c r="D32" s="265"/>
      <c r="E32" s="265"/>
      <c r="F32" s="355"/>
      <c r="G32" s="356"/>
      <c r="H32" s="255"/>
      <c r="I32" s="100">
        <f t="shared" si="0"/>
        <v>0</v>
      </c>
      <c r="J32" s="33"/>
      <c r="K32" s="315"/>
      <c r="L32" s="316"/>
      <c r="M32" s="32"/>
      <c r="N32"/>
      <c r="O32"/>
      <c r="V32" s="32"/>
      <c r="X32" s="267">
        <f t="shared" si="1"/>
        <v>0</v>
      </c>
      <c r="Y32" s="268"/>
      <c r="Z32" s="269"/>
      <c r="AA32" s="267"/>
      <c r="AB32" s="268"/>
      <c r="AC32" s="269"/>
    </row>
    <row r="33" spans="1:25" s="10" customFormat="1" ht="19.05" customHeight="1" thickBot="1" x14ac:dyDescent="0.3">
      <c r="A33" s="31"/>
      <c r="B33" s="30" t="s">
        <v>85</v>
      </c>
      <c r="C33" s="266">
        <f>SUM(C26:C32)</f>
        <v>0</v>
      </c>
      <c r="D33" s="266">
        <f>SUM(D27:D32)</f>
        <v>0</v>
      </c>
      <c r="E33" s="52">
        <f>SUM(E27:E32)</f>
        <v>0</v>
      </c>
      <c r="F33" s="52">
        <f>SUM(F27:F32)</f>
        <v>0</v>
      </c>
      <c r="G33" s="52">
        <f>SUM(G27:G32)</f>
        <v>0</v>
      </c>
      <c r="J33"/>
      <c r="K33"/>
      <c r="L33"/>
      <c r="M33"/>
      <c r="N33" s="20"/>
      <c r="O33" s="20"/>
    </row>
    <row r="34" spans="1:25" customFormat="1" ht="19.05" customHeight="1" x14ac:dyDescent="0.25"/>
    <row r="35" spans="1:25" s="29" customFormat="1" ht="18.75" hidden="1" customHeigh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25" s="10" customFormat="1" ht="24" customHeight="1" x14ac:dyDescent="0.25">
      <c r="A36" s="532" t="s">
        <v>86</v>
      </c>
      <c r="B36" s="534"/>
      <c r="C36" s="535"/>
      <c r="D36" s="535"/>
      <c r="E36" s="535"/>
      <c r="F36" s="535"/>
      <c r="G36" s="535"/>
      <c r="H36" s="535"/>
      <c r="I36" s="535"/>
      <c r="J36" s="535"/>
      <c r="K36" s="535"/>
      <c r="L36" s="536"/>
      <c r="N36" s="9"/>
      <c r="O36" s="9"/>
      <c r="P36" s="9"/>
      <c r="Q36" s="9"/>
      <c r="R36" s="9"/>
    </row>
    <row r="37" spans="1:25" s="10" customFormat="1" ht="24" customHeight="1" x14ac:dyDescent="0.25">
      <c r="A37" s="533"/>
      <c r="B37" s="537"/>
      <c r="C37" s="537"/>
      <c r="D37" s="537"/>
      <c r="E37" s="537"/>
      <c r="F37" s="537"/>
      <c r="G37" s="537"/>
      <c r="H37" s="537"/>
      <c r="I37" s="537"/>
      <c r="J37" s="537"/>
      <c r="K37" s="537"/>
      <c r="L37" s="538"/>
      <c r="M37" s="76"/>
      <c r="N37" s="14"/>
      <c r="O37" s="14"/>
      <c r="P37" s="14"/>
      <c r="Q37" s="9"/>
      <c r="R37" s="9"/>
    </row>
    <row r="38" spans="1:25" s="10" customFormat="1" ht="18" customHeight="1" x14ac:dyDescent="0.25">
      <c r="A38" s="2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9"/>
      <c r="O38" s="9"/>
      <c r="P38" s="9"/>
      <c r="Q38" s="9"/>
      <c r="R38" s="9"/>
    </row>
    <row r="39" spans="1:25" s="55" customFormat="1" ht="23.4" customHeight="1" x14ac:dyDescent="0.3">
      <c r="A39" s="19" t="s">
        <v>179</v>
      </c>
      <c r="B39" s="24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7"/>
      <c r="O39" s="7"/>
      <c r="P39" s="7"/>
      <c r="Q39" s="7"/>
      <c r="R39" s="7"/>
    </row>
    <row r="40" spans="1:25" s="10" customFormat="1" ht="81" customHeight="1" x14ac:dyDescent="0.25">
      <c r="A40" s="530" t="s">
        <v>142</v>
      </c>
      <c r="B40" s="531"/>
      <c r="C40" s="101" t="str">
        <f>IF($D$33&gt;0,"Montant admissible du supplément de droits de diffusion",
IF(AND($D$33=0,$E$33&gt;0),"Montant admissible de la Contribution","Montant admissible du supplément de droits de diffusion/de la Contribution"))</f>
        <v>Montant admissible du supplément de droits de diffusion/de la Contribution</v>
      </c>
      <c r="D40" s="101" t="s">
        <v>87</v>
      </c>
      <c r="E40" s="102" t="s">
        <v>88</v>
      </c>
      <c r="F40" s="102" t="s">
        <v>89</v>
      </c>
      <c r="G40" s="74" t="s">
        <v>180</v>
      </c>
      <c r="H40" s="74" t="s">
        <v>181</v>
      </c>
      <c r="I40" s="5" t="s">
        <v>182</v>
      </c>
      <c r="J40" s="201" t="s">
        <v>234</v>
      </c>
      <c r="K40" s="270" t="s">
        <v>183</v>
      </c>
      <c r="L40" s="205" t="s">
        <v>233</v>
      </c>
      <c r="M40" s="103" t="s">
        <v>90</v>
      </c>
      <c r="N40" s="104"/>
      <c r="O40" s="104"/>
      <c r="V40" s="56" t="s">
        <v>91</v>
      </c>
      <c r="W40" s="56" t="s">
        <v>91</v>
      </c>
      <c r="X40" s="56" t="s">
        <v>92</v>
      </c>
      <c r="Y40" s="56" t="s">
        <v>93</v>
      </c>
    </row>
    <row r="41" spans="1:25" s="10" customFormat="1" ht="15" x14ac:dyDescent="0.25">
      <c r="A41" s="105"/>
      <c r="B41" s="106" t="s">
        <v>78</v>
      </c>
      <c r="C41" s="107">
        <f>IF($E$48-(E7*0.4)&lt;100000,E41,IF((E7*0.4)&lt;MIN(E15,E92:E94),ROUND(E7*0.4,0),MIN(E15,E92:E94)))</f>
        <v>0</v>
      </c>
      <c r="D41" s="107">
        <f>E41-C41</f>
        <v>0</v>
      </c>
      <c r="E41" s="107">
        <f>IF(MAX(E$92:E$94)&lt;E15,MAX(E$92:E$94),(E15))</f>
        <v>0</v>
      </c>
      <c r="F41" s="188" t="str">
        <f>IF(E$7=0,"",E41/E$7)</f>
        <v/>
      </c>
      <c r="G41" s="108"/>
      <c r="H41" s="192"/>
      <c r="I41" s="192"/>
      <c r="J41" s="192"/>
      <c r="K41" s="192"/>
      <c r="L41" s="109"/>
      <c r="M41" s="110"/>
      <c r="N41" s="104"/>
      <c r="O41" s="104"/>
      <c r="V41" s="79"/>
      <c r="W41" s="79"/>
      <c r="X41" s="79"/>
      <c r="Y41" s="85"/>
    </row>
    <row r="42" spans="1:25" s="10" customFormat="1" ht="14.25" customHeight="1" x14ac:dyDescent="0.25">
      <c r="A42" s="111" t="s">
        <v>79</v>
      </c>
      <c r="B42" s="112">
        <f>$B$27</f>
        <v>0</v>
      </c>
      <c r="C42" s="107">
        <f>IF(($C$48-$C$41)&gt;0,ROUND(E42/($E$48-$E$41)*($C$48-$C$41),0),0)</f>
        <v>0</v>
      </c>
      <c r="D42" s="107">
        <f t="shared" ref="D42:D47" si="2">E42-C42</f>
        <v>0</v>
      </c>
      <c r="E42" s="107">
        <f t="shared" ref="E42:E47" si="3">IF($E$48-$E$41=0,0,ROUND(C27/($C$33-$C$26)*($E$48-$E$41),0))</f>
        <v>0</v>
      </c>
      <c r="F42" s="188" t="str">
        <f t="shared" ref="F42:F47" si="4">IF(E$7=0,"",E42/E$7)</f>
        <v/>
      </c>
      <c r="G42" s="362">
        <f>IF($E$7=0,0,
IF(AND($D27&lt;&gt;"",$X27=0,$I55&lt;&gt;"S/O"),$I55,0))</f>
        <v>0</v>
      </c>
      <c r="H42" s="362">
        <f>IF(OR($E$7=0,$B56="Information manquante"),0,
IF(AND($E27&lt;&gt;"",$X27=0,$I55&lt;&gt;"S/O"),$I55,
IF(AND($E27&lt;&gt;"",$X27=0,$I55="S/O"),$E27,0)))</f>
        <v>0</v>
      </c>
      <c r="I42" s="363" t="s">
        <v>94</v>
      </c>
      <c r="J42" s="364" t="s">
        <v>94</v>
      </c>
      <c r="K42" s="371">
        <f t="shared" ref="K42:K47" si="5">N(G42)+N(H42)+N(I42)+N(J42)</f>
        <v>0</v>
      </c>
      <c r="L42" s="113" t="str">
        <f t="shared" ref="L42:L47" si="6">IF($E$7=0,"",(G42+N(H42)+N(I42)+N(J42))/$E$7)</f>
        <v/>
      </c>
      <c r="M42" s="371">
        <f t="shared" ref="M42:M47" si="7">N(D27)+N(E27)+N(F27)+N(G27)-N(G42)-N(H42)-N(I42)-N(J42)</f>
        <v>0</v>
      </c>
      <c r="N42" s="104"/>
      <c r="O42" s="104"/>
      <c r="V42" s="57">
        <f>IF(J27&lt;72,J27,72)</f>
        <v>0</v>
      </c>
      <c r="W42" s="57">
        <f>IF(J27&lt;72,J27,72)</f>
        <v>0</v>
      </c>
      <c r="X42" s="57">
        <f t="shared" ref="X42:X47" si="8">V27</f>
        <v>0</v>
      </c>
      <c r="Y42" s="86" t="s">
        <v>94</v>
      </c>
    </row>
    <row r="43" spans="1:25" s="10" customFormat="1" ht="14.25" customHeight="1" x14ac:dyDescent="0.25">
      <c r="A43" s="114" t="s">
        <v>80</v>
      </c>
      <c r="B43" s="115">
        <f>$B$28</f>
        <v>0</v>
      </c>
      <c r="C43" s="107">
        <f t="shared" ref="C43:C47" si="9">IF(($C$48-$C$41)&gt;0,ROUND(E43/($E$48-$E$41)*($C$48-$C$41),0),0)</f>
        <v>0</v>
      </c>
      <c r="D43" s="107">
        <f t="shared" si="2"/>
        <v>0</v>
      </c>
      <c r="E43" s="107">
        <f t="shared" si="3"/>
        <v>0</v>
      </c>
      <c r="F43" s="188" t="str">
        <f t="shared" si="4"/>
        <v/>
      </c>
      <c r="G43" s="362">
        <f>IF($E$7=0,0,
IF(AND($D28&lt;&gt;"",$X28=0,$I57&lt;&gt;"S/O"),$I57,0))</f>
        <v>0</v>
      </c>
      <c r="H43" s="362">
        <f>IF(OR($E$7=0,$B58="Information manquante"),0,
IF(AND($E28&lt;&gt;"",$X28=0,$I57&lt;&gt;"S/O"),$I57,
IF(AND($E28&lt;&gt;"",$X28=0,$I57="S/O"),$E28,0)))</f>
        <v>0</v>
      </c>
      <c r="I43" s="362">
        <f>IF($I$48&gt;0,MIN(F28,(F28/$F$33)*I$48),0)</f>
        <v>0</v>
      </c>
      <c r="J43" s="371">
        <f>IF($J$48&gt;0,ROUND((G28*J$48/$G$33),0),0)</f>
        <v>0</v>
      </c>
      <c r="K43" s="371">
        <f t="shared" si="5"/>
        <v>0</v>
      </c>
      <c r="L43" s="113" t="str">
        <f t="shared" si="6"/>
        <v/>
      </c>
      <c r="M43" s="371">
        <f t="shared" si="7"/>
        <v>0</v>
      </c>
      <c r="N43" s="104"/>
      <c r="O43" s="104"/>
      <c r="V43" s="58">
        <f>IF($J28=0,0,IF($J28&lt;$F57,$J28,$F$57))</f>
        <v>0</v>
      </c>
      <c r="W43" s="58">
        <f>IF(J28=0,0,IF(J28&lt;F57,J28,F57))</f>
        <v>0</v>
      </c>
      <c r="X43" s="58">
        <f t="shared" si="8"/>
        <v>0</v>
      </c>
      <c r="Y43" s="87">
        <f>IF(H28&gt;DATE(YEAR(H27),MONTH(H27)+X42,DAY(H27)),H28,DATE(YEAR(H27),MONTH(H27)+X42,DAY(H27)))</f>
        <v>0</v>
      </c>
    </row>
    <row r="44" spans="1:25" s="10" customFormat="1" ht="14.25" customHeight="1" x14ac:dyDescent="0.25">
      <c r="A44" s="114" t="s">
        <v>81</v>
      </c>
      <c r="B44" s="116">
        <f>B29</f>
        <v>0</v>
      </c>
      <c r="C44" s="107">
        <f t="shared" si="9"/>
        <v>0</v>
      </c>
      <c r="D44" s="107">
        <f t="shared" si="2"/>
        <v>0</v>
      </c>
      <c r="E44" s="107">
        <f t="shared" si="3"/>
        <v>0</v>
      </c>
      <c r="F44" s="188" t="str">
        <f t="shared" si="4"/>
        <v/>
      </c>
      <c r="G44" s="362">
        <f>IF($E$7=0,0,
IF(AND($D29&lt;&gt;"",$X29=0,$I59&lt;&gt;"S/O"),$I59,0))</f>
        <v>0</v>
      </c>
      <c r="H44" s="362">
        <f>IF(OR($E$7=0,$B60="Information manquante"),0,
IF(AND($E29&lt;&gt;"",$X29=0,$I59&lt;&gt;"S/O"),$I59,
IF(AND($E29&lt;&gt;"",$X29=0,$I59="S/O"),$E29,0)))</f>
        <v>0</v>
      </c>
      <c r="I44" s="362">
        <f>IF($I$48&gt;0,MIN(F29,(F29/$F$33)*I$48),0)</f>
        <v>0</v>
      </c>
      <c r="J44" s="371">
        <f>IF($J$48&gt;0,ROUND((G29*J$48/$G$33),0),0)</f>
        <v>0</v>
      </c>
      <c r="K44" s="371">
        <f t="shared" si="5"/>
        <v>0</v>
      </c>
      <c r="L44" s="113" t="str">
        <f t="shared" si="6"/>
        <v/>
      </c>
      <c r="M44" s="371">
        <f t="shared" si="7"/>
        <v>0</v>
      </c>
      <c r="N44" s="104"/>
      <c r="O44" s="104"/>
      <c r="V44" s="58">
        <f>IF($J29=0,0,IF($J29&lt;$F59,$J29,$F$59))</f>
        <v>0</v>
      </c>
      <c r="W44" s="58">
        <f>IF(J29=0,0,IF(J29&lt;F59,J29,F59))</f>
        <v>0</v>
      </c>
      <c r="X44" s="58">
        <f t="shared" si="8"/>
        <v>0</v>
      </c>
      <c r="Y44" s="87">
        <f>IF(H29&gt;DATE(YEAR(H27),MONTH(H27)+X42+X43,DAY(H27)),H29,DATE(YEAR(H27),MONTH(H27)+X42+X43,DAY(H27)))</f>
        <v>0</v>
      </c>
    </row>
    <row r="45" spans="1:25" s="10" customFormat="1" ht="14.25" customHeight="1" x14ac:dyDescent="0.25">
      <c r="A45" s="114" t="s">
        <v>82</v>
      </c>
      <c r="B45" s="116">
        <f>$B$30</f>
        <v>0</v>
      </c>
      <c r="C45" s="107">
        <f t="shared" si="9"/>
        <v>0</v>
      </c>
      <c r="D45" s="107">
        <f t="shared" si="2"/>
        <v>0</v>
      </c>
      <c r="E45" s="107">
        <f t="shared" si="3"/>
        <v>0</v>
      </c>
      <c r="F45" s="188" t="str">
        <f t="shared" si="4"/>
        <v/>
      </c>
      <c r="G45" s="362">
        <f>IF($E$7=0,0,
IF(AND($D30&lt;&gt;"",$X30=0,$I61&lt;&gt;"S/O"),$I61,0))</f>
        <v>0</v>
      </c>
      <c r="H45" s="362">
        <f>IF(OR($E$7=0,$B62="Information manquante"),0,
IF(AND($E30&lt;&gt;"",$X30=0,$I61&lt;&gt;"S/O"),$I61,
IF(AND($E30&lt;&gt;"",$X30=0,$I61="S/O"),$E30,0)))</f>
        <v>0</v>
      </c>
      <c r="I45" s="362">
        <f>IF($I$48&gt;0,MIN(F30,(F30/$F$33)*I$48),0)</f>
        <v>0</v>
      </c>
      <c r="J45" s="371">
        <f>IF($J$48&gt;0,ROUND((G30*J$48/$G$33),0),0)</f>
        <v>0</v>
      </c>
      <c r="K45" s="371">
        <f t="shared" si="5"/>
        <v>0</v>
      </c>
      <c r="L45" s="113" t="str">
        <f t="shared" si="6"/>
        <v/>
      </c>
      <c r="M45" s="371">
        <f t="shared" si="7"/>
        <v>0</v>
      </c>
      <c r="N45" s="104"/>
      <c r="O45" s="104"/>
      <c r="V45" s="58">
        <f>IF($V30=0,0,IF($V30&lt;$F61,$V30,$F$61))</f>
        <v>0</v>
      </c>
      <c r="W45" s="58">
        <f>IF(J30=0,0,IF(J30&lt;F61,J30,F61))</f>
        <v>0</v>
      </c>
      <c r="X45" s="58">
        <f t="shared" si="8"/>
        <v>0</v>
      </c>
      <c r="Y45" s="87">
        <f>IF(H30&gt;DATE(YEAR(H27),MONTH(H27)+X42+X43+X44,DAY(H27)),H30,DATE(YEAR(H27),MONTH(H27)+X42+X43+X44,DAY(H27)))</f>
        <v>0</v>
      </c>
    </row>
    <row r="46" spans="1:25" s="10" customFormat="1" ht="14.25" customHeight="1" x14ac:dyDescent="0.25">
      <c r="A46" s="117" t="s">
        <v>83</v>
      </c>
      <c r="B46" s="116">
        <f>$B$31</f>
        <v>0</v>
      </c>
      <c r="C46" s="107">
        <f t="shared" si="9"/>
        <v>0</v>
      </c>
      <c r="D46" s="107">
        <f t="shared" si="2"/>
        <v>0</v>
      </c>
      <c r="E46" s="107">
        <f t="shared" si="3"/>
        <v>0</v>
      </c>
      <c r="F46" s="188" t="str">
        <f t="shared" si="4"/>
        <v/>
      </c>
      <c r="G46" s="362">
        <f>IF($E$7=0,0,
IF(AND($D31&lt;&gt;"",$X31=0,$I63&lt;&gt;"S/O"),$I63,0))</f>
        <v>0</v>
      </c>
      <c r="H46" s="362">
        <f>IF(OR($E$7=0,$B64="Information manquante"),0,
IF(AND($E31&lt;&gt;"",$X31=0,$I63&lt;&gt;"S/O"),$I63,
IF(AND($E31&lt;&gt;"",$X31=0,$I63="S/O"),$E31,0)))</f>
        <v>0</v>
      </c>
      <c r="I46" s="362">
        <f>IF($I$48&gt;0,MIN(F31,(F31/$F$33)*I$48),0)</f>
        <v>0</v>
      </c>
      <c r="J46" s="371">
        <f>IF($J$48&gt;0,ROUND((G31*J$48/$G$33),0),0)</f>
        <v>0</v>
      </c>
      <c r="K46" s="371">
        <f t="shared" si="5"/>
        <v>0</v>
      </c>
      <c r="L46" s="113" t="str">
        <f t="shared" si="6"/>
        <v/>
      </c>
      <c r="M46" s="371">
        <f t="shared" si="7"/>
        <v>0</v>
      </c>
      <c r="N46" s="104"/>
      <c r="O46" s="104"/>
      <c r="V46" s="58">
        <f>IF($V31=0,0,IF($V31&lt;$F63,$V31,$F$63))</f>
        <v>0</v>
      </c>
      <c r="W46" s="58">
        <f>IF(J31=0,0,IF(J31&lt;F63,J31,F63))</f>
        <v>0</v>
      </c>
      <c r="X46" s="58">
        <f t="shared" si="8"/>
        <v>0</v>
      </c>
      <c r="Y46" s="87">
        <f>IF(H31&gt;DATE(YEAR(H27),MONTH(H27)+X42+X43+X44+X45,DAY(H27)),H31,DATE(YEAR(H27),MONTH(H27)+X42+X43+X44+X45,DAY(H27)))</f>
        <v>0</v>
      </c>
    </row>
    <row r="47" spans="1:25" s="10" customFormat="1" ht="13.8" customHeight="1" thickBot="1" x14ac:dyDescent="0.3">
      <c r="A47" s="118" t="s">
        <v>84</v>
      </c>
      <c r="B47" s="119">
        <f>$B$32</f>
        <v>0</v>
      </c>
      <c r="C47" s="120">
        <f t="shared" si="9"/>
        <v>0</v>
      </c>
      <c r="D47" s="107">
        <f t="shared" si="2"/>
        <v>0</v>
      </c>
      <c r="E47" s="107">
        <f t="shared" si="3"/>
        <v>0</v>
      </c>
      <c r="F47" s="189" t="str">
        <f t="shared" si="4"/>
        <v/>
      </c>
      <c r="G47" s="362">
        <f>IF($E$7=0,0,
IF(AND($D32&lt;&gt;"",$X32=0,$I65&lt;&gt;"S/O"),$I65,0))</f>
        <v>0</v>
      </c>
      <c r="H47" s="362">
        <f>IF(OR($E$7=0,$B66="Information manquante"),0,
IF(AND($E32&lt;&gt;"",$X32=0,$I65&lt;&gt;"S/O"),$I65,
IF(AND($E32&lt;&gt;"",$X32=0,$I65="S/O"),$E32,0)))</f>
        <v>0</v>
      </c>
      <c r="I47" s="362">
        <f>IF($I$48&gt;0,MIN(F32,(F32/$F$33)*I$48),0)</f>
        <v>0</v>
      </c>
      <c r="J47" s="371">
        <f>IF($J$48&gt;0,ROUND((G32*J$48/$G$33),0),0)</f>
        <v>0</v>
      </c>
      <c r="K47" s="371">
        <f t="shared" si="5"/>
        <v>0</v>
      </c>
      <c r="L47" s="113" t="str">
        <f t="shared" si="6"/>
        <v/>
      </c>
      <c r="M47" s="371">
        <f t="shared" si="7"/>
        <v>0</v>
      </c>
      <c r="N47" s="104"/>
      <c r="O47" s="104"/>
      <c r="V47" s="58">
        <f>IF($V32=0,0,IF($V32&lt;$F65,$V32,$F$65))</f>
        <v>0</v>
      </c>
      <c r="W47" s="58">
        <f>IF(J32=0,0,IF(J32&lt;F65,J32,F65))</f>
        <v>0</v>
      </c>
      <c r="X47" s="58">
        <f t="shared" si="8"/>
        <v>0</v>
      </c>
      <c r="Y47" s="87">
        <f>IF(H32&gt;DATE(YEAR(H27),MONTH(H27)+X42+X43+X44+X45+X46,DAY(H27)),H32,DATE(YEAR(H27),MONTH(H27)+X42+X43+X44+X45+X46,DAY(H27)))</f>
        <v>0</v>
      </c>
    </row>
    <row r="48" spans="1:25" s="10" customFormat="1" ht="18" customHeight="1" thickBot="1" x14ac:dyDescent="0.3">
      <c r="A48" s="121"/>
      <c r="B48" s="122" t="s">
        <v>95</v>
      </c>
      <c r="C48" s="271">
        <f>IF(E48-(E7*0.4)&lt;100000,E48,IF((E7*0.4)&lt;E48,ROUND(E7*0.4,0),E48))</f>
        <v>0</v>
      </c>
      <c r="D48" s="271">
        <f>E48-C48</f>
        <v>0</v>
      </c>
      <c r="E48" s="271">
        <f>MIN(MAX(N(H92),N(H94))+E41,C33-C26+E41,MAX(N(B92),N(B94)))</f>
        <v>0</v>
      </c>
      <c r="F48" s="272">
        <f>SUM(F41:F47)</f>
        <v>0</v>
      </c>
      <c r="G48" s="365">
        <f>ROUND(SUM(G42:G47),0)</f>
        <v>0</v>
      </c>
      <c r="H48" s="365">
        <f>ROUND(SUM(H42:H47),0)</f>
        <v>0</v>
      </c>
      <c r="I48" s="365">
        <f>ROUND(MIN(F33,SUM(H72:H78)),0)</f>
        <v>0</v>
      </c>
      <c r="J48" s="365">
        <f>ROUND(MIN(G33,SUM(I72:I86)),0)</f>
        <v>0</v>
      </c>
      <c r="K48" s="365">
        <f>SUM(G48:J48)</f>
        <v>0</v>
      </c>
      <c r="L48" s="366">
        <f>SUM(L42:L47)</f>
        <v>0</v>
      </c>
      <c r="M48" s="365">
        <f>SUM(M42:M47)</f>
        <v>0</v>
      </c>
      <c r="N48" s="104"/>
      <c r="O48" s="104"/>
      <c r="Q48" s="9"/>
      <c r="R48" s="9"/>
      <c r="S48" s="9"/>
    </row>
    <row r="49" spans="1:23" s="48" customFormat="1" ht="34.5" hidden="1" customHeight="1" thickBot="1" x14ac:dyDescent="0.35">
      <c r="A49"/>
      <c r="B49"/>
      <c r="C49" s="357"/>
      <c r="D49" s="357">
        <v>0</v>
      </c>
      <c r="E49" s="357">
        <f>C49+D49</f>
        <v>0</v>
      </c>
      <c r="F49" s="358">
        <f>IF(E7=0,0,C49/E7)</f>
        <v>0</v>
      </c>
      <c r="G49" s="123"/>
      <c r="H49" s="124"/>
      <c r="I49" s="124"/>
      <c r="J49" s="125" t="str">
        <f>IF(AND($A$70&gt;2,$A$70&lt;6,G48&gt;0,F33&gt;0,E7&gt;0),"DDA &amp; CMM du distributeur / Exigence seuil:","")</f>
        <v/>
      </c>
      <c r="K49" s="126" t="str">
        <f>IF(AND($A$70&gt;2,$A$70&lt;6,G48&gt;0,F33&gt;0,E7&gt;0),SUM(G48,N(H48))/SUM(N(D72),N(D73),N(D74)),"")</f>
        <v/>
      </c>
      <c r="L49" s="127"/>
      <c r="M49" s="128"/>
      <c r="N49" s="49"/>
      <c r="O49" s="49"/>
      <c r="P49" s="49"/>
      <c r="Q49" s="49"/>
      <c r="R49" s="49"/>
    </row>
    <row r="50" spans="1:23" s="48" customFormat="1" ht="18" hidden="1" customHeight="1" thickBot="1" x14ac:dyDescent="0.35">
      <c r="A50" s="121"/>
      <c r="B50" s="122" t="s">
        <v>95</v>
      </c>
      <c r="C50" s="359">
        <f>+C48+C49</f>
        <v>0</v>
      </c>
      <c r="D50" s="359">
        <f>+D48+D49</f>
        <v>0</v>
      </c>
      <c r="E50" s="359">
        <f>+E48+E49</f>
        <v>0</v>
      </c>
      <c r="F50" s="360">
        <f>SUM(F48:F49)</f>
        <v>0</v>
      </c>
      <c r="G50" s="123"/>
      <c r="H50" s="124"/>
      <c r="I50" s="124"/>
      <c r="J50" s="125"/>
      <c r="K50" s="130"/>
      <c r="L50" s="127"/>
      <c r="M50" s="128"/>
    </row>
    <row r="51" spans="1:23" s="10" customFormat="1" ht="18" customHeight="1" x14ac:dyDescent="0.25">
      <c r="A51" s="279" t="s">
        <v>190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9"/>
    </row>
    <row r="52" spans="1:23" s="10" customFormat="1" x14ac:dyDescent="0.25">
      <c r="A52" s="62"/>
      <c r="H52" s="340" t="str">
        <f>IF(AND($A$70&lt;=9,G$48+H$48&gt;0,F$33&gt;0,E7&gt;0,SUM(N(D72),N(D73),N(D74),N(D76),N(D77),N(D78))&gt;0),"DDA + ADA / Exigence seuil:","")</f>
        <v/>
      </c>
      <c r="I52" s="384" t="str">
        <f>IF(AND($A$70&lt;=9,G48+H48&gt;0,F33&gt;0,E7&gt;0,SUM(N(D72),N(D73),N(D74),N(D76),N(D77),N(D78))&gt;0),
(G48+H48)/SUM(N(D72),N(D73),N(D74),N(D76),N(D77),N(D78)),
"")</f>
        <v/>
      </c>
    </row>
    <row r="53" spans="1:23" s="10" customFormat="1" x14ac:dyDescent="0.25">
      <c r="A53" s="62"/>
    </row>
    <row r="54" spans="1:23" s="10" customFormat="1" ht="21" customHeight="1" x14ac:dyDescent="0.25">
      <c r="A54" s="276" t="s">
        <v>189</v>
      </c>
      <c r="B54" s="18"/>
      <c r="C54" s="17"/>
      <c r="D54" s="277"/>
      <c r="E54" s="277"/>
      <c r="F54" s="16"/>
      <c r="G54" s="16"/>
      <c r="H54" s="12"/>
      <c r="I54" s="12"/>
      <c r="J54" s="12"/>
      <c r="K54" s="12"/>
      <c r="L54"/>
      <c r="M54" s="9"/>
      <c r="V54" s="381" t="s">
        <v>236</v>
      </c>
      <c r="W54" s="381" t="s">
        <v>237</v>
      </c>
    </row>
    <row r="55" spans="1:23" s="135" customFormat="1" ht="25.05" customHeight="1" x14ac:dyDescent="0.25">
      <c r="A55" s="114" t="s">
        <v>79</v>
      </c>
      <c r="B55" s="275">
        <f>IF(AND($D27&lt;&gt;"",$E27=""),$D27,IF(AND($D27="",$E27&lt;&gt;""),$E27,IF(AND($D27="",$F27&lt;&gt;""),$F27,0)))</f>
        <v>0</v>
      </c>
      <c r="C55" s="372" t="s">
        <v>28</v>
      </c>
      <c r="D55" s="373">
        <f>$J$27</f>
        <v>0</v>
      </c>
      <c r="E55" s="372" t="s">
        <v>29</v>
      </c>
      <c r="F55" s="374">
        <v>72</v>
      </c>
      <c r="G55" s="373"/>
      <c r="H55" s="372" t="s">
        <v>30</v>
      </c>
      <c r="I55" s="225" t="str">
        <f>IF(AND(D27&lt;=0,OR(X27=1,V55=FALSE)),"S/O",
IF($J27&lt;F55,B55,
ROUND((B55/D55)*F55,0)))</f>
        <v>S/O</v>
      </c>
      <c r="J55" s="491" t="s">
        <v>96</v>
      </c>
      <c r="K55" s="543"/>
      <c r="L55" s="375">
        <f>DATE(YEAR($H$27),(MONTH($H$27)+$F$55),DAY($H$27))</f>
        <v>2192</v>
      </c>
      <c r="M55" s="134"/>
      <c r="V55" s="225" t="b">
        <f>AND(E27&gt;0,K27="Canadien",L27="Non")</f>
        <v>0</v>
      </c>
      <c r="W55" s="299" t="str">
        <f>IF(X27&gt;0,"S/O",
IF(AND($E27&gt;0,$L27="Oui"),"S/O (dist. apparenté au requérant)",
IF(AND($E27&gt;0,$X27=0,$K27="Canadien",$L27=""),"Information manquante",
IF(AND($E27&gt;0,$X27=0,$K27="",$L27&lt;&gt;"Oui"),"Information manquante",
IF(AND($E27&gt;0,$X27=0,$K27="Canadien",$L27="Non"),"ADA totale (droits CAN)",
IF(D27&gt;0,"Montant total des droits de diffusion",
IF(OR($K27="International",F27&gt;0),"S/O (droits int.)","")))))))</f>
        <v/>
      </c>
    </row>
    <row r="56" spans="1:23" s="136" customFormat="1" ht="25.5" customHeight="1" x14ac:dyDescent="0.25">
      <c r="A56" s="222"/>
      <c r="B56" s="376" t="str">
        <f>W55</f>
        <v/>
      </c>
      <c r="C56" s="137"/>
      <c r="D56" s="137" t="s">
        <v>235</v>
      </c>
      <c r="E56" s="139"/>
      <c r="F56" s="503" t="s">
        <v>98</v>
      </c>
      <c r="G56" s="504"/>
      <c r="H56" s="139"/>
      <c r="I56" s="138" t="s">
        <v>99</v>
      </c>
      <c r="J56" s="140"/>
      <c r="K56" s="140"/>
      <c r="L56" s="234"/>
      <c r="M56" s="65"/>
      <c r="V56" s="138"/>
      <c r="W56" s="300"/>
    </row>
    <row r="57" spans="1:23" s="135" customFormat="1" ht="25.05" customHeight="1" x14ac:dyDescent="0.25">
      <c r="A57" s="114" t="s">
        <v>80</v>
      </c>
      <c r="B57" s="275">
        <f>IF(AND($D28&lt;&gt;"",$E28=""),$D28,IF(AND($D28="",$E28&lt;&gt;""),$E28,IF(AND($D28="",$F28&lt;&gt;""),$F28,0)))</f>
        <v>0</v>
      </c>
      <c r="C57" s="372" t="s">
        <v>28</v>
      </c>
      <c r="D57" s="373">
        <f>$J$28</f>
        <v>0</v>
      </c>
      <c r="E57" s="372" t="s">
        <v>29</v>
      </c>
      <c r="F57" s="377">
        <f>IF((YEAR(L$55)-YEAR(Y$43))*12+MONTH(L$55)-MONTH(Y$43)&lt;0,0,(YEAR(L$55)-YEAR(Y$43))*12+MONTH(L$55)-MONTH(Y$43))</f>
        <v>71</v>
      </c>
      <c r="G57" s="322"/>
      <c r="H57" s="372" t="s">
        <v>30</v>
      </c>
      <c r="I57" s="225" t="str">
        <f>IF(AND(D28&lt;=0,OR(X28=1,V57=FALSE)),"S/O",
IF($J28&lt;F57,B57,
ROUND((B57/D57)*F57,0)))</f>
        <v>S/O</v>
      </c>
      <c r="J57" s="378"/>
      <c r="K57" s="378"/>
      <c r="L57" s="379"/>
      <c r="M57" s="134"/>
      <c r="V57" s="225" t="b">
        <f>AND(E28&gt;0,K28="Canadien",L28="Non")</f>
        <v>0</v>
      </c>
      <c r="W57" s="299" t="str">
        <f>IF(X28&gt;0,"S/O",
IF(AND($E28&gt;0,$L28="Oui"),"S/O (dist. apparenté au requérant)",
IF(AND($E28&gt;0,$X28=0,$K28="Canadien",$L28=""),"Information manquante",
IF(AND($E28&gt;0,$X28=0,$K28="",$L28&lt;&gt;"Oui"),"Information manquante",
IF(AND($E28&gt;0,$X28=0,$K28="Canadien",$L28="Non"),"ADA totale (droits CAN)",
IF(D28&gt;0,"Montant total des droits de diffusion",
IF(OR($K28="International",F28&gt;0),"S/O (droits int.)","")))))))</f>
        <v/>
      </c>
    </row>
    <row r="58" spans="1:23" s="136" customFormat="1" ht="25.5" customHeight="1" x14ac:dyDescent="0.25">
      <c r="A58" s="223"/>
      <c r="B58" s="376" t="str">
        <f>W57</f>
        <v/>
      </c>
      <c r="C58" s="137"/>
      <c r="D58" s="137" t="s">
        <v>235</v>
      </c>
      <c r="E58" s="139"/>
      <c r="F58" s="503" t="s">
        <v>98</v>
      </c>
      <c r="G58" s="504"/>
      <c r="H58" s="139"/>
      <c r="I58" s="138" t="s">
        <v>99</v>
      </c>
      <c r="J58" s="140"/>
      <c r="K58" s="140"/>
      <c r="L58" s="234"/>
      <c r="M58" s="65"/>
      <c r="V58" s="138"/>
      <c r="W58" s="300"/>
    </row>
    <row r="59" spans="1:23" s="135" customFormat="1" ht="25.05" customHeight="1" x14ac:dyDescent="0.25">
      <c r="A59" s="114" t="s">
        <v>81</v>
      </c>
      <c r="B59" s="275">
        <f>IF(AND($D29&lt;&gt;"",$E29=""),$D29,IF(AND($D29="",$E29&lt;&gt;""),$E29,IF(AND($D29="",$F29&lt;&gt;""),$F29,0)))</f>
        <v>0</v>
      </c>
      <c r="C59" s="372" t="s">
        <v>28</v>
      </c>
      <c r="D59" s="373">
        <f>$J$29</f>
        <v>0</v>
      </c>
      <c r="E59" s="372" t="s">
        <v>29</v>
      </c>
      <c r="F59" s="377">
        <f>IF((YEAR(L$55)-YEAR(Y$44))*12+MONTH(L$55)-MONTH(Y$44)&lt;0,0,(YEAR(L$55)-YEAR(Y$44))*12+MONTH(L$55)-MONTH(Y$44))</f>
        <v>71</v>
      </c>
      <c r="G59" s="322"/>
      <c r="H59" s="372" t="s">
        <v>30</v>
      </c>
      <c r="I59" s="225" t="str">
        <f>IF(AND(D29&lt;=0,OR(X29=1,V59=FALSE)),"S/O",
IF($J29&lt;F59,B59,
ROUND((B59/D59)*F59,0)))</f>
        <v>S/O</v>
      </c>
      <c r="J59" s="378"/>
      <c r="K59" s="378"/>
      <c r="L59" s="379"/>
      <c r="M59" s="134"/>
      <c r="V59" s="225" t="b">
        <f>AND(E29&gt;0,K29="Canadien",L29="Non")</f>
        <v>0</v>
      </c>
      <c r="W59" s="299" t="str">
        <f>IF(X29&gt;0,"S/O",
IF(AND($E29&gt;0,$L29="Oui"),"S/O (dist. apparenté au requérant)",
IF(AND($E29&gt;0,$X29=0,$K29="Canadien",$L29=""),"Information manquante",
IF(AND($E29&gt;0,$X29=0,$K29="",$L29&lt;&gt;"Oui"),"Information manquante",
IF(AND($E29&gt;0,$X29=0,$K29="Canadien",$L29="Non"),"ADA totale (droits CAN)",
IF(D29&gt;0,"Montant total des droits de diffusion",
IF(OR($K29="International",F29&gt;0),"S/O (droits int.)","")))))))</f>
        <v/>
      </c>
    </row>
    <row r="60" spans="1:23" s="136" customFormat="1" ht="25.5" customHeight="1" x14ac:dyDescent="0.25">
      <c r="A60" s="224"/>
      <c r="B60" s="376" t="str">
        <f>W59</f>
        <v/>
      </c>
      <c r="C60" s="137"/>
      <c r="D60" s="137" t="s">
        <v>97</v>
      </c>
      <c r="E60" s="139"/>
      <c r="F60" s="503" t="s">
        <v>98</v>
      </c>
      <c r="G60" s="504"/>
      <c r="H60" s="139"/>
      <c r="I60" s="138" t="s">
        <v>99</v>
      </c>
      <c r="J60" s="140"/>
      <c r="K60" s="140"/>
      <c r="L60" s="234"/>
      <c r="M60" s="65"/>
      <c r="V60" s="138"/>
      <c r="W60" s="300"/>
    </row>
    <row r="61" spans="1:23" s="135" customFormat="1" ht="25.05" customHeight="1" x14ac:dyDescent="0.25">
      <c r="A61" s="114" t="s">
        <v>82</v>
      </c>
      <c r="B61" s="275">
        <f>IF(AND($D30&lt;&gt;"",$E30=""),$D30,IF(AND($D30="",$E30&lt;&gt;""),$E30,IF(AND($D30="",$F30&lt;&gt;""),$F30,0)))</f>
        <v>0</v>
      </c>
      <c r="C61" s="372" t="s">
        <v>28</v>
      </c>
      <c r="D61" s="322">
        <f>$J$30</f>
        <v>0</v>
      </c>
      <c r="E61" s="372" t="s">
        <v>29</v>
      </c>
      <c r="F61" s="377">
        <f>IF((YEAR(L$55)-YEAR(Y$45))*12+MONTH(L$55)-MONTH(Y$45)&lt;0,0,(YEAR(L$55)-YEAR(Y$45))*12+MONTH(L$55)-MONTH(Y$45))</f>
        <v>71</v>
      </c>
      <c r="G61" s="322"/>
      <c r="H61" s="372" t="s">
        <v>30</v>
      </c>
      <c r="I61" s="225" t="str">
        <f>IF(AND(D30&lt;=0,OR(X30=1,V61=FALSE)),"S/O",
IF($J30&lt;F61,B61,
ROUND((B61/D61)*F61,0)))</f>
        <v>S/O</v>
      </c>
      <c r="J61" s="378"/>
      <c r="K61" s="378"/>
      <c r="L61" s="379"/>
      <c r="M61" s="134"/>
      <c r="V61" s="225" t="b">
        <f>AND(E30&gt;0,K30="Canadien",L30="Non")</f>
        <v>0</v>
      </c>
      <c r="W61" s="299" t="str">
        <f>IF(X30&gt;0,"S/O",
IF(AND($E30&gt;0,$L30="Oui"),"S/O (dist. apparenté au requérant)",
IF(AND($E30&gt;0,$X30=0,$K30="Canadien",$L30=""),"Information manquante",
IF(AND($E30&gt;0,$X30=0,$K30="",$L30&lt;&gt;"Oui"),"Information manquante",
IF(AND($E30&gt;0,$X30=0,$K30="Canadien",$L30="Non"),"ADA totale (droits CAN)",
IF(D30&gt;0,"Montant total des droits de diffusion",
IF(OR($K30="International",F30&gt;0),"S/O (droits int.)","")))))))</f>
        <v/>
      </c>
    </row>
    <row r="62" spans="1:23" s="136" customFormat="1" ht="30.6" customHeight="1" x14ac:dyDescent="0.25">
      <c r="A62" s="222"/>
      <c r="B62" s="376" t="str">
        <f>$W61</f>
        <v/>
      </c>
      <c r="C62" s="137"/>
      <c r="D62" s="137" t="s">
        <v>97</v>
      </c>
      <c r="E62" s="139"/>
      <c r="F62" s="503" t="s">
        <v>98</v>
      </c>
      <c r="G62" s="504"/>
      <c r="H62" s="139"/>
      <c r="I62" s="138" t="s">
        <v>99</v>
      </c>
      <c r="J62" s="140"/>
      <c r="K62" s="140"/>
      <c r="L62" s="234"/>
      <c r="M62" s="65"/>
      <c r="V62" s="138"/>
      <c r="W62" s="269"/>
    </row>
    <row r="63" spans="1:23" s="135" customFormat="1" ht="25.05" customHeight="1" x14ac:dyDescent="0.25">
      <c r="A63" s="114" t="s">
        <v>83</v>
      </c>
      <c r="B63" s="275">
        <f>IF(AND($D31&lt;&gt;"",$E31=""),$D31,IF(AND($D31="",$E31&lt;&gt;""),$E31,IF(AND($D31="",$F31&lt;&gt;""),$F31,0)))</f>
        <v>0</v>
      </c>
      <c r="C63" s="372" t="s">
        <v>28</v>
      </c>
      <c r="D63" s="322">
        <f>$J$31</f>
        <v>0</v>
      </c>
      <c r="E63" s="372" t="s">
        <v>29</v>
      </c>
      <c r="F63" s="377">
        <f>IF((YEAR(L$55)-YEAR(Y$46))*12+MONTH(L$55)-MONTH(Y$46)&lt;0,0,(YEAR(L$55)-YEAR(Y$46))*12+MONTH(L$55)-MONTH(Y$46))</f>
        <v>71</v>
      </c>
      <c r="G63" s="322"/>
      <c r="H63" s="372" t="s">
        <v>30</v>
      </c>
      <c r="I63" s="225" t="str">
        <f>IF(AND(D31&lt;=0,OR(X31=1,V63=FALSE)),"S/O",
IF($J31&lt;F63,B63,
ROUND((B63/D63)*F63,0)))</f>
        <v>S/O</v>
      </c>
      <c r="J63" s="378"/>
      <c r="K63" s="378"/>
      <c r="L63" s="379"/>
      <c r="M63" s="134"/>
      <c r="V63" s="225" t="b">
        <f>AND(E31&gt;0,K31="Canadien",L31="Non")</f>
        <v>0</v>
      </c>
      <c r="W63" s="299" t="str">
        <f>IF(X31&gt;0,"S/O",
IF(AND($E31&gt;0,$L31="Oui"),"S/O (dist. apparenté au requérant)",
IF(AND($E31&gt;0,$X31=0,$K31="Canadien",$L31=""),"Information manquante",
IF(AND($E31&gt;0,$X31=0,$K31="",$L31&lt;&gt;"Oui"),"Information manquante",
IF(AND($E31&gt;0,$X31=0,$K31="Canadien",$L31="Non"),"ADA totale (droits CAN)",
IF(D31&gt;0,"Montant total des droits de diffusion",
IF(OR($K31="International",F31&gt;0),"S/O (droits int.)","")))))))</f>
        <v/>
      </c>
    </row>
    <row r="64" spans="1:23" s="136" customFormat="1" ht="26.4" customHeight="1" x14ac:dyDescent="0.25">
      <c r="A64" s="223"/>
      <c r="B64" s="376" t="str">
        <f>$W63</f>
        <v/>
      </c>
      <c r="C64" s="137"/>
      <c r="D64" s="137" t="s">
        <v>97</v>
      </c>
      <c r="E64" s="139"/>
      <c r="F64" s="503" t="s">
        <v>98</v>
      </c>
      <c r="G64" s="504"/>
      <c r="H64" s="139"/>
      <c r="I64" s="138" t="s">
        <v>99</v>
      </c>
      <c r="J64" s="140"/>
      <c r="K64" s="140"/>
      <c r="L64" s="234"/>
      <c r="M64" s="65"/>
      <c r="V64" s="138"/>
      <c r="W64" s="269"/>
    </row>
    <row r="65" spans="1:29" s="135" customFormat="1" ht="25.05" customHeight="1" x14ac:dyDescent="0.25">
      <c r="A65" s="114" t="s">
        <v>84</v>
      </c>
      <c r="B65" s="275">
        <f>IF(AND($D32&lt;&gt;"",$E32=""),$D32,IF(AND($D32="",$E32&lt;&gt;""),$E32,IF(AND($D32="",$F32&lt;&gt;""),$F32,0)))</f>
        <v>0</v>
      </c>
      <c r="C65" s="372" t="s">
        <v>28</v>
      </c>
      <c r="D65" s="322">
        <f>$J$32</f>
        <v>0</v>
      </c>
      <c r="E65" s="372" t="s">
        <v>29</v>
      </c>
      <c r="F65" s="377">
        <f>IF((YEAR(L$55)-YEAR(Y$47))*12+MONTH(L$55)-MONTH(Y$47)&lt;0,0,(YEAR(L$55)-YEAR(Y$47))*12+MONTH(L$55)-MONTH(Y$47))</f>
        <v>71</v>
      </c>
      <c r="G65" s="322"/>
      <c r="H65" s="372" t="s">
        <v>30</v>
      </c>
      <c r="I65" s="225" t="str">
        <f>IF(AND(D32&lt;=0,OR(X32=1,V65=FALSE)),"S/O",
IF($J32&lt;F65,B65,
ROUND((B65/D65)*F65,0)))</f>
        <v>S/O</v>
      </c>
      <c r="J65" s="378"/>
      <c r="K65" s="378"/>
      <c r="L65" s="379"/>
      <c r="M65" s="134"/>
      <c r="V65" s="225" t="b">
        <f>AND(E32&gt;0,K32="Canadien",L32="Non")</f>
        <v>0</v>
      </c>
      <c r="W65" s="299" t="str">
        <f>IF(X32&gt;0,"S/O",
IF(AND($E32&gt;0,$L32="Oui"),"S/O (dist. apparenté au requérant)",
IF(AND($E32&gt;0,$X32=0,$K32="Canadien",$L32=""),"Information manquante",
IF(AND($E32&gt;0,$X32=0,$K32="",$L32&lt;&gt;"Oui"),"Information manquante",
IF(AND($E32&gt;0,$X32=0,$K32="Canadien",$L32="Non"),"ADA totale (droits CAN)",
IF(D32&gt;0,"Montant total des droits de diffusion",
IF(OR($K32="International",F32&gt;0),"S/O (droits int.)","")))))))</f>
        <v/>
      </c>
    </row>
    <row r="66" spans="1:29" s="136" customFormat="1" ht="26.4" customHeight="1" x14ac:dyDescent="0.25">
      <c r="A66" s="236"/>
      <c r="B66" s="380" t="str">
        <f>$W65</f>
        <v/>
      </c>
      <c r="C66" s="228"/>
      <c r="D66" s="228" t="s">
        <v>97</v>
      </c>
      <c r="E66" s="226"/>
      <c r="F66" s="503" t="s">
        <v>98</v>
      </c>
      <c r="G66" s="504"/>
      <c r="H66" s="226"/>
      <c r="I66" s="232" t="s">
        <v>99</v>
      </c>
      <c r="J66" s="231"/>
      <c r="K66" s="231"/>
      <c r="L66" s="235"/>
      <c r="V66"/>
      <c r="W66"/>
      <c r="X66"/>
    </row>
    <row r="67" spans="1:29" s="136" customFormat="1" ht="15" hidden="1" x14ac:dyDescent="0.25">
      <c r="A67" s="367"/>
      <c r="B67" s="368"/>
      <c r="C67" s="369"/>
      <c r="D67" s="367"/>
      <c r="E67" s="369"/>
      <c r="F67" s="367"/>
      <c r="G67" s="370"/>
      <c r="H67" s="368"/>
      <c r="I67" s="369"/>
      <c r="J67" s="369"/>
      <c r="K67" s="369"/>
      <c r="L67" s="104"/>
      <c r="V67"/>
      <c r="W67"/>
    </row>
    <row r="68" spans="1:29" s="136" customFormat="1" ht="26.4" customHeight="1" x14ac:dyDescent="0.25">
      <c r="A68" s="137"/>
      <c r="B68" s="138"/>
      <c r="C68" s="137"/>
      <c r="D68" s="137"/>
      <c r="E68" s="139"/>
      <c r="F68" s="139"/>
      <c r="G68" s="137"/>
      <c r="H68" s="139"/>
      <c r="I68" s="139"/>
      <c r="J68" s="138"/>
      <c r="K68" s="140"/>
      <c r="L68" s="104"/>
      <c r="AB68" s="389"/>
    </row>
    <row r="69" spans="1:29" s="136" customFormat="1" ht="22.5" customHeight="1" x14ac:dyDescent="0.25">
      <c r="A69" s="141" t="s">
        <v>231</v>
      </c>
      <c r="B69" s="142"/>
      <c r="C69" s="143"/>
      <c r="D69" s="361"/>
      <c r="E69" s="193"/>
      <c r="F69" s="193"/>
      <c r="G69" s="193"/>
      <c r="H69" s="513" t="s">
        <v>232</v>
      </c>
      <c r="I69" s="514"/>
      <c r="J69" s="193"/>
      <c r="K69" s="193"/>
      <c r="L69" s="193"/>
      <c r="AB69" s="390"/>
    </row>
    <row r="70" spans="1:29" s="136" customFormat="1" ht="57.75" customHeight="1" x14ac:dyDescent="0.25">
      <c r="A70" s="196">
        <v>18</v>
      </c>
      <c r="B70" s="144" t="s">
        <v>100</v>
      </c>
      <c r="C70" s="145" t="s">
        <v>101</v>
      </c>
      <c r="D70" s="145" t="s">
        <v>102</v>
      </c>
      <c r="E70" s="515" t="s">
        <v>103</v>
      </c>
      <c r="F70" s="515"/>
      <c r="G70" s="195" t="s">
        <v>104</v>
      </c>
      <c r="H70" s="240" t="s">
        <v>162</v>
      </c>
      <c r="I70" s="194" t="s">
        <v>163</v>
      </c>
      <c r="J70" s="334"/>
      <c r="K70" s="337"/>
      <c r="AB70" s="391"/>
    </row>
    <row r="71" spans="1:29" s="136" customFormat="1" ht="24.9" customHeight="1" x14ac:dyDescent="0.25">
      <c r="A71" s="95"/>
      <c r="B71" s="146" t="s">
        <v>105</v>
      </c>
      <c r="C71" s="147"/>
      <c r="D71" s="148"/>
      <c r="E71" s="149"/>
      <c r="F71" s="150"/>
      <c r="G71" s="149"/>
      <c r="H71" s="82"/>
      <c r="I71" s="253" t="str">
        <f>IFERROR(_xlfn.CONCAT(L72:L74,L76:L77,L79,M81:M87,M89),"")</f>
        <v/>
      </c>
      <c r="J71" s="385" t="s">
        <v>187</v>
      </c>
      <c r="K71" s="385" t="s">
        <v>69</v>
      </c>
      <c r="AB71" s="390"/>
      <c r="AC71" s="390"/>
    </row>
    <row r="72" spans="1:29" s="136" customFormat="1" ht="38.25" customHeight="1" x14ac:dyDescent="0.25">
      <c r="A72" s="96"/>
      <c r="B72" s="151" t="s">
        <v>106</v>
      </c>
      <c r="C72" s="152">
        <v>0.1</v>
      </c>
      <c r="D72" s="153" t="str">
        <f>IF(A$70=3,ROUND(10%*$E$7,0),"S/O")</f>
        <v>S/O</v>
      </c>
      <c r="E72" s="383" t="str">
        <f>IF(D72="S/O","S/O",
IF(G$48+H$48&gt;=D72,"Oui",
IF(AND(G$48+H$48&gt;=75%*D72,G$48+H$48+MIN(F$33,MAX(0,D72-G$48-H$48))&gt;=D72),"Oui",
IF(AND(G$48+H$48&gt;=51%*D72,G$48+H$48+IF(G$48+H$48&gt;=75%*D72,MIN(F$33,MAX(0,D72-G$48-H$48)),0)+MIN(G$33,MAX(D72-G$48-H$48-IF(G$48+H$48&gt;=75%*D72,MIN(F$33,MAX(0,D72-G$48-H$48)),0),0))&gt;=D72),"Oui",
"Non"))))</f>
        <v>S/O</v>
      </c>
      <c r="F72" s="382"/>
      <c r="G72" s="154" t="str">
        <f>IF(E72="S/O","S/O",G$48+MIN(H$48,E$33)+MIN(I$48,F$33)+MIN(J$48,G$33)-D72)</f>
        <v>S/O</v>
      </c>
      <c r="H72" s="155" t="str">
        <f>IF(E72="S/O","S/O",
IF(AND($A$70=3,F$33&gt;0,G$48+H$48&gt;=75%*D72),MAX(ROUND(D72-G$48-H$48,0),0),0))</f>
        <v>S/O</v>
      </c>
      <c r="I72" s="155" t="str">
        <f>IF(E72="S/O","S/O",
IF(AND($A$70=3,G$33&gt;0,G$48+H$48&gt;=51%*D72),MAX(ROUND(D72-G$48-H$48-I$48,0),0),0))</f>
        <v>S/O</v>
      </c>
      <c r="J72" s="385" t="s">
        <v>188</v>
      </c>
      <c r="K72" s="385" t="s">
        <v>68</v>
      </c>
    </row>
    <row r="73" spans="1:29" s="136" customFormat="1" ht="45" customHeight="1" x14ac:dyDescent="0.25">
      <c r="A73" s="96"/>
      <c r="B73" s="156" t="s">
        <v>107</v>
      </c>
      <c r="C73" s="152">
        <v>0.1</v>
      </c>
      <c r="D73" s="153" t="str">
        <f>IF(A$70=4,ROUND(10%*$E$7,0),"S/O")</f>
        <v>S/O</v>
      </c>
      <c r="E73" s="383" t="str">
        <f t="shared" ref="E73:E78" si="10">IF(D73="S/O","S/O",
IF(G$48+H$48&gt;=D73,"Oui",
IF(AND(G$48+H$48&gt;=75%*D73,G$48+H$48+MIN(F$33,MAX(0,D73-G$48-H$48))&gt;=D73),"Oui",
IF(AND(G$48+H$48&gt;=51%*D73,G$48+H$48+IF(G$48+H$48&gt;=75%*D73,MIN(F$33,MAX(0,D73-G$48-H$48)),0)+MIN(G$33,MAX(D73-G$48-H$48-IF(G$48+H$48&gt;=75%*D73,MIN(F$33,MAX(0,D73-G$48-H$48)),0),0))&gt;=D73),"Oui",
"Non"))))</f>
        <v>S/O</v>
      </c>
      <c r="F73" s="382"/>
      <c r="G73" s="154" t="str">
        <f>IF(E73="S/O","S/O",G$48+MIN(H$48,E$33)+MIN(I$48,F$33)+MIN(J$48,G$33)-D73)</f>
        <v>S/O</v>
      </c>
      <c r="H73" s="155" t="str">
        <f>IF(E73="S/O","S/O",
IF(AND($A$70=4,F$33&gt;0,G$48+H$48&gt;=75%*D73),MAX(ROUND(D73-G$48-H$48,0),0),0))</f>
        <v>S/O</v>
      </c>
      <c r="I73" s="155" t="str">
        <f>IF(E73="S/O","S/O",
IF(AND($A$70=4,G$33&gt;0,G$48+H$48&gt;=51%*D73),MAX(ROUND(D73-G$48-H$48-I$48,0),0),0))</f>
        <v>S/O</v>
      </c>
      <c r="J73" s="334"/>
      <c r="K73" s="336"/>
    </row>
    <row r="74" spans="1:29" s="136" customFormat="1" ht="38.25" customHeight="1" x14ac:dyDescent="0.25">
      <c r="A74" s="97"/>
      <c r="B74" s="151" t="s">
        <v>108</v>
      </c>
      <c r="C74" s="152" t="str">
        <f>IF(E$10="Oui","Moindre des 2:
5% ou 120 000 $","10%")</f>
        <v>10%</v>
      </c>
      <c r="D74" s="153" t="str">
        <f>IF(AND(E$10&lt;&gt;"Oui",A$70=5),ROUND(10%*$E$7,0),
IF(AND(E$10="Oui",A$70=5),MIN(ROUND(5%*E$7,0),120000),"S/O"))</f>
        <v>S/O</v>
      </c>
      <c r="E74" s="383" t="str">
        <f>IF(D74="S/O","S/O",
IF(G$48+H$48&gt;=D74,"Oui",
IF(AND(G$48+H$48&gt;=75%*D74,G$48+H$48+MIN(F$33,MAX(0,D74-G$48-H$48))&gt;=D74),"Oui",
IF(AND(G$48+H$48&gt;=51%*D74,G$48+H$48+IF(G$48+H$48&gt;=75%*D74,MIN(F$33,MAX(0,D74-G$48-H$48)),0)+MIN(G$33,MAX(D74-G$48-H$48-IF(G$48+H$48&gt;=75%*D74,MIN(F$33,MAX(0,D74-G$48-H$48)),0),0))&gt;=D74),"Oui",
"Non"))))</f>
        <v>S/O</v>
      </c>
      <c r="F74" s="382"/>
      <c r="G74" s="154" t="str">
        <f>IF(E74="S/O","S/O",G$48+MIN(H$48,E$33)+MIN(I$48,F$33)+MIN(J$48,G$33)-D74)</f>
        <v>S/O</v>
      </c>
      <c r="H74" s="155" t="str">
        <f>IF(E74="S/O","S/O",
IF(AND($A$70=5,F$33&gt;0,G$48+H$48&gt;=75%*D74),MAX(ROUND(D74-G$48-H$48,0),0),0))</f>
        <v>S/O</v>
      </c>
      <c r="I74" s="155" t="str">
        <f>IF(E74="S/O","S/O",
IF(AND($A$70=5,G$33&gt;0,G$48+H$48&gt;=51%*D74),MAX(ROUND(D74-G$48-H$48-I$48,0),0),0))</f>
        <v>S/O</v>
      </c>
      <c r="J74" s="334"/>
      <c r="K74" s="336"/>
    </row>
    <row r="75" spans="1:29" s="136" customFormat="1" ht="24.9" customHeight="1" x14ac:dyDescent="0.25">
      <c r="A75" s="97"/>
      <c r="B75" s="146" t="s">
        <v>109</v>
      </c>
      <c r="C75" s="147"/>
      <c r="D75" s="147"/>
      <c r="E75" s="164"/>
      <c r="F75" s="149"/>
      <c r="G75" s="149"/>
      <c r="H75" s="82"/>
      <c r="I75" s="157"/>
      <c r="J75" s="334"/>
      <c r="K75" s="336"/>
    </row>
    <row r="76" spans="1:29" s="136" customFormat="1" ht="45" customHeight="1" x14ac:dyDescent="0.25">
      <c r="A76" s="97"/>
      <c r="B76" s="151" t="s">
        <v>110</v>
      </c>
      <c r="C76" s="158">
        <v>0.1</v>
      </c>
      <c r="D76" s="159" t="str">
        <f>IF($A$70=7,ROUND(10%*$E$7,0),"S/O")</f>
        <v>S/O</v>
      </c>
      <c r="E76" s="383" t="str">
        <f t="shared" si="10"/>
        <v>S/O</v>
      </c>
      <c r="F76" s="382"/>
      <c r="G76" s="154" t="str">
        <f>IF(E76="S/O","S/O",G$48+MIN(H$48,E$33)+MIN(I$48,F$33)+MIN(J$48,G$33)-D76)</f>
        <v>S/O</v>
      </c>
      <c r="H76" s="155" t="str">
        <f>IF(E76="S/O","S/O",
IF(AND($A$70=7,F$33&gt;0,G$48+H$48&gt;=75%*D76),MAX(ROUND(D76-G$48-H$48,0),0),0))</f>
        <v>S/O</v>
      </c>
      <c r="I76" s="155" t="str">
        <f>IF(E76="S/O","S/O",
IF(AND($A$70=7,G$33&gt;0,G$48+H$48&gt;=51%*D76),MAX(ROUND(D76-G$48-H$48-I$48,0),0),0))</f>
        <v>S/O</v>
      </c>
      <c r="J76" s="334"/>
      <c r="K76" s="336"/>
    </row>
    <row r="77" spans="1:29" s="136" customFormat="1" ht="45" customHeight="1" x14ac:dyDescent="0.25">
      <c r="A77" s="97"/>
      <c r="B77" s="151" t="s">
        <v>111</v>
      </c>
      <c r="C77" s="158" t="str">
        <f>IF(E$10="Oui","Moindre des 2: 
10% ou 
60 000$/heure","10%")</f>
        <v>10%</v>
      </c>
      <c r="D77" s="160" t="str">
        <f>IF(AND(E$10&lt;&gt;"Oui",A$70=8),ROUND(10%*$E$7,0),
IF(AND(E$10="Oui",A$70=8),MIN(ROUND(10%*E$7,0),ROUND(60000*L$7,0)),"S/O"))</f>
        <v>S/O</v>
      </c>
      <c r="E77" s="383" t="str">
        <f t="shared" si="10"/>
        <v>S/O</v>
      </c>
      <c r="F77" s="382"/>
      <c r="G77" s="154" t="str">
        <f>IF(E77="S/O","S/O",G$48+MIN(H$48,E$33)+MIN(I$48,F$33)+MIN(J$48,G$33)-D77)</f>
        <v>S/O</v>
      </c>
      <c r="H77" s="155" t="str">
        <f>IF(E77="S/O","S/O",
IF(AND($A$70=8,F$33&gt;0,G$48+H$48&gt;=75%*D77),MAX(ROUND(D77-G$48-H$48,0),0),0))</f>
        <v>S/O</v>
      </c>
      <c r="I77" s="155" t="str">
        <f>IF(E77="S/O","S/O",
IF(AND($A$70=8,G$33&gt;0,G$48+H$48&gt;=51%*D77),MAX(ROUND(D77-G$48-H$48-I$48,0),0),0))</f>
        <v>S/O</v>
      </c>
      <c r="J77" s="334"/>
      <c r="K77" s="336"/>
    </row>
    <row r="78" spans="1:29" s="136" customFormat="1" ht="46.5" customHeight="1" x14ac:dyDescent="0.25">
      <c r="A78" s="97"/>
      <c r="B78" s="151" t="s">
        <v>112</v>
      </c>
      <c r="C78" s="161" t="str">
        <f>IF(E$10="Oui","Moindre des 2:
10% ou 60 000$","10%")</f>
        <v>10%</v>
      </c>
      <c r="D78" s="159" t="str">
        <f>IF(AND(E$10&lt;&gt;"Oui",A$70=9),ROUND(10%*$E$7,0),
IF(AND(E$10="Oui",A$70=9),MIN(ROUND(10%*E$7,0),60000),"S/O"))</f>
        <v>S/O</v>
      </c>
      <c r="E78" s="383" t="str">
        <f t="shared" si="10"/>
        <v>S/O</v>
      </c>
      <c r="F78" s="382"/>
      <c r="G78" s="154" t="str">
        <f>IF(E78="S/O","S/O",G$48+MIN(H$48,E$33)+MIN(I$48,F$33)+MIN(J$48,G$33)-D78)</f>
        <v>S/O</v>
      </c>
      <c r="H78" s="155" t="str">
        <f>IF(E78="S/O","S/O",
IF(AND($A$70=9,F$33&gt;0,G$48+H$48&gt;=75%*D78),MAX(ROUND(D78-G$48-H$48,0),0),0))</f>
        <v>S/O</v>
      </c>
      <c r="I78" s="155" t="str">
        <f>IF(E78="S/O","S/O",
IF(AND($A$70=9,G$33&gt;0,G$48+H$48&gt;=51%*D78),MAX(ROUND(D78-G$48-H$48-I$48,0),0),0))</f>
        <v>S/O</v>
      </c>
      <c r="J78" s="334"/>
      <c r="K78" s="336"/>
    </row>
    <row r="79" spans="1:29" s="136" customFormat="1" ht="24.9" customHeight="1" x14ac:dyDescent="0.25">
      <c r="A79" s="97"/>
      <c r="B79" s="162" t="s">
        <v>113</v>
      </c>
      <c r="C79" s="163"/>
      <c r="D79" s="147"/>
      <c r="E79" s="164"/>
      <c r="F79" s="149"/>
      <c r="G79" s="150"/>
      <c r="H79" s="81"/>
      <c r="I79" s="165"/>
      <c r="J79" s="334"/>
      <c r="K79" s="336"/>
    </row>
    <row r="80" spans="1:29" s="136" customFormat="1" ht="30" customHeight="1" x14ac:dyDescent="0.25">
      <c r="A80" s="97"/>
      <c r="B80" s="151" t="s">
        <v>114</v>
      </c>
      <c r="C80" s="158">
        <v>0.1</v>
      </c>
      <c r="D80" s="159" t="str">
        <f>IF(A$70=11,ROUND(10%*$E$7,0),"S/O")</f>
        <v>S/O</v>
      </c>
      <c r="E80" s="383" t="str">
        <f>IF(D80="S/O","S/O",
IF(G$48+H$48&gt;=D80,"Oui",
IF(AND(G$48+H$48&gt;=51%*D80,G$48+H$48+MIN(G$33,MAX(0,D80-G$48-H$48))&gt;=D80),"Oui",
"Non")))</f>
        <v>S/O</v>
      </c>
      <c r="F80" s="382"/>
      <c r="G80" s="154" t="str">
        <f>IF(E80="S/O","S/O",G$48+MIN(H$48,E$33)+MIN(I$48,F$33)+MIN(J$48,G$33)-D80)</f>
        <v>S/O</v>
      </c>
      <c r="H80" s="84"/>
      <c r="I80" s="155" t="str">
        <f>IF(E80="S/O","S/O",
IF(AND($A$70=11,G$33&gt;0,G$48+H$48&gt;=51%*D80),MAX(ROUND(D80-G$48-H$48-I$48,0),0),0))</f>
        <v>S/O</v>
      </c>
      <c r="J80" s="334"/>
      <c r="K80" s="334"/>
    </row>
    <row r="81" spans="1:13" s="136" customFormat="1" ht="24.9" customHeight="1" x14ac:dyDescent="0.25">
      <c r="A81" s="97"/>
      <c r="B81" s="162" t="s">
        <v>115</v>
      </c>
      <c r="C81" s="163"/>
      <c r="D81" s="147"/>
      <c r="E81" s="164"/>
      <c r="F81" s="149"/>
      <c r="G81" s="150"/>
      <c r="H81" s="82"/>
      <c r="I81" s="165"/>
      <c r="J81" s="334"/>
      <c r="K81" s="334"/>
    </row>
    <row r="82" spans="1:13" s="136" customFormat="1" ht="36.75" customHeight="1" x14ac:dyDescent="0.25">
      <c r="A82" s="97"/>
      <c r="B82" s="151" t="s">
        <v>146</v>
      </c>
      <c r="C82" s="158">
        <v>0.1</v>
      </c>
      <c r="D82" s="159" t="str">
        <f>IF($A$70=13,ROUND(10%*$E$7,0),"S/O")</f>
        <v>S/O</v>
      </c>
      <c r="E82" s="383" t="str">
        <f>IF(D82="S/O","S/O",
IF(G$48+H$48&gt;=D82,"Oui",
IF(AND(G$48+H$48&gt;=51%*D82,G$48+H$48+MIN(G$33,MAX(0,D82-G$48-H$48))&gt;=D82),"Oui",
"Non")))</f>
        <v>S/O</v>
      </c>
      <c r="F82" s="382"/>
      <c r="G82" s="154" t="str">
        <f>IF(E82="S/O","S/O",G$48+MIN(H$48,E$33)+MIN(I$48,F$33)+MIN(J$48,G$33)-D82)</f>
        <v>S/O</v>
      </c>
      <c r="H82" s="166"/>
      <c r="I82" s="155" t="str">
        <f>IF(E82="S/O","S/O",
IF(AND($A$70=13,G$33&gt;0,G$48+H$48&gt;=51%*D82),MAX(ROUND(D82-G$48-H$48-I$48,0),0),0))</f>
        <v>S/O</v>
      </c>
      <c r="J82" s="334"/>
      <c r="K82" s="334"/>
    </row>
    <row r="83" spans="1:13" s="136" customFormat="1" ht="45" customHeight="1" x14ac:dyDescent="0.25">
      <c r="A83" s="97"/>
      <c r="B83" s="151" t="s">
        <v>116</v>
      </c>
      <c r="C83" s="158" t="str">
        <f>IF(E$10="Oui","Moindre des 2:
10% ou 
195 000 $/heure","10%")</f>
        <v>10%</v>
      </c>
      <c r="D83" s="160" t="str">
        <f>IF(AND(E$10&lt;&gt;"Oui",A$70=14),ROUND(10%*$E$7,0),
IF(AND(E$10="Oui",A$70=14),MIN(ROUND(10%*E$7,0),ROUND(195000*L$7,0)),"S/O"))</f>
        <v>S/O</v>
      </c>
      <c r="E83" s="383" t="str">
        <f>IF(D83="S/O","S/O",
IF(G$48+H$48&gt;=D83,"Oui",
IF(AND(G$48+H$48&gt;=51%*D83,G$48+H$48+MIN(G$33,MAX(0,D83-G$48-H$48))&gt;=D83),"Oui",
"Non")))</f>
        <v>S/O</v>
      </c>
      <c r="F83" s="382"/>
      <c r="G83" s="154" t="str">
        <f>IF(E83="S/O","S/O",G$48+MIN(H$48,E$33)+MIN(I$48,F$33)+MIN(J$48,G$33)-D83)</f>
        <v>S/O</v>
      </c>
      <c r="H83" s="81"/>
      <c r="I83" s="155" t="str">
        <f>IF(E83="S/O","S/O",
IF(AND($A$70=14,G$33&gt;0,G$48+H$48&gt;=51%*D83),MAX(ROUND(D83-G$48-H$48-I$48,0),0),0))</f>
        <v>S/O</v>
      </c>
      <c r="J83" s="334"/>
      <c r="K83" s="386"/>
    </row>
    <row r="84" spans="1:13" s="136" customFormat="1" ht="37.5" customHeight="1" x14ac:dyDescent="0.25">
      <c r="A84" s="97"/>
      <c r="B84" s="151" t="s">
        <v>118</v>
      </c>
      <c r="C84" s="161" t="str">
        <f>IF(E$10="Oui","Moindre des 2:
10% ou 150 000 $","10%")</f>
        <v>10%</v>
      </c>
      <c r="D84" s="159" t="str">
        <f>IF(AND(E$10&lt;&gt;"Oui",A$70=15),ROUND(10%*$E$7,0),
IF(AND(E$10="Oui",A$70=15),MIN(ROUND(10%*E$7,0),150000),"S/O"))</f>
        <v>S/O</v>
      </c>
      <c r="E84" s="383" t="str">
        <f>IF(D84="S/O","S/O",
IF(G$48+H$48&gt;=D84,"Oui",
IF(AND(G$48+H$48&gt;=51%*D84,G$48+H$48+MIN(G$33,MAX(0,D84-G$48-H$48))&gt;=D84),"Oui",
"Non")))</f>
        <v>S/O</v>
      </c>
      <c r="F84" s="382"/>
      <c r="G84" s="154" t="str">
        <f>IF(E84="S/O","S/O",G$48+MIN(H$48,E$33)+MIN(I$48,F$33)+MIN(J$48,G$33)-D84)</f>
        <v>S/O</v>
      </c>
      <c r="H84" s="83"/>
      <c r="I84" s="155" t="str">
        <f>IF(E84="S/O","S/O",
IF(AND($A$70=15,G$33&gt;0,G$48+H$48&gt;=51%*D84),MAX(ROUND(D84-G$48-H$48-I$48,0),0),0))</f>
        <v>S/O</v>
      </c>
      <c r="J84" s="334"/>
      <c r="K84" s="387"/>
    </row>
    <row r="85" spans="1:13" s="136" customFormat="1" ht="24.9" customHeight="1" x14ac:dyDescent="0.25">
      <c r="A85" s="97"/>
      <c r="B85" s="162" t="s">
        <v>120</v>
      </c>
      <c r="C85" s="163"/>
      <c r="D85" s="147"/>
      <c r="E85" s="164"/>
      <c r="F85" s="149"/>
      <c r="G85" s="150"/>
      <c r="H85" s="81"/>
      <c r="I85" s="165"/>
      <c r="J85" s="334"/>
      <c r="K85" s="388"/>
    </row>
    <row r="86" spans="1:13" s="136" customFormat="1" ht="45" customHeight="1" x14ac:dyDescent="0.25">
      <c r="A86" s="97"/>
      <c r="B86" s="151" t="s">
        <v>121</v>
      </c>
      <c r="C86" s="158">
        <v>0.1</v>
      </c>
      <c r="D86" s="159" t="str">
        <f>IF($A$70=17,ROUND(10%*$E$7,0),"S/O")</f>
        <v>S/O</v>
      </c>
      <c r="E86" s="383" t="str">
        <f>IF(D86="S/O","S/O",
IF(G$48+H$48&gt;=D86,"Oui",
IF(AND(G$48+H$48&gt;=51%*D86,G$48+H$48+MIN(G$33,MAX(0,D86-G$48-H$48))&gt;=D86),"Oui",
"Non")))</f>
        <v>S/O</v>
      </c>
      <c r="F86" s="382"/>
      <c r="G86" s="154" t="str">
        <f>IF(E86="S/O","S/O",G$48+MIN(H$48,E$33)+MIN(I$48,F$33)+MIN(J$48,G$33)-D86)</f>
        <v>S/O</v>
      </c>
      <c r="H86" s="84"/>
      <c r="I86" s="155" t="str">
        <f>IF(E86="S/O","S/O",
IF(AND($A$70=17,G$33&gt;0,G$48+H$48&gt;=51%*D86),MAX(ROUND(D86-G$48-H$48-I$48,0),0),0))</f>
        <v>S/O</v>
      </c>
      <c r="J86" s="334"/>
      <c r="K86" s="336"/>
    </row>
    <row r="87" spans="1:13" s="104" customFormat="1" ht="15" x14ac:dyDescent="0.25">
      <c r="M87" s="136"/>
    </row>
    <row r="88" spans="1:13" s="104" customFormat="1" ht="24.9" customHeight="1" x14ac:dyDescent="0.25">
      <c r="A88" s="516" t="s">
        <v>122</v>
      </c>
      <c r="B88" s="516"/>
    </row>
    <row r="89" spans="1:13" s="136" customFormat="1" ht="38.25" customHeight="1" x14ac:dyDescent="0.25">
      <c r="A89" s="167"/>
      <c r="B89" s="515" t="s">
        <v>123</v>
      </c>
      <c r="C89" s="515"/>
      <c r="D89" s="515"/>
      <c r="E89" s="517" t="s">
        <v>124</v>
      </c>
      <c r="F89" s="518"/>
      <c r="G89" s="519"/>
      <c r="H89" s="520" t="s">
        <v>173</v>
      </c>
      <c r="I89" s="520"/>
      <c r="J89" s="520"/>
      <c r="K89" s="104"/>
      <c r="L89" s="104"/>
      <c r="M89" s="104"/>
    </row>
    <row r="90" spans="1:13" s="136" customFormat="1" ht="45" customHeight="1" x14ac:dyDescent="0.25">
      <c r="A90" s="132" t="s">
        <v>100</v>
      </c>
      <c r="B90" s="145" t="s">
        <v>125</v>
      </c>
      <c r="C90" s="169" t="s">
        <v>126</v>
      </c>
      <c r="D90" s="169" t="s">
        <v>127</v>
      </c>
      <c r="E90" s="170" t="s">
        <v>128</v>
      </c>
      <c r="F90" s="171" t="s">
        <v>129</v>
      </c>
      <c r="G90" s="171" t="s">
        <v>127</v>
      </c>
      <c r="H90" s="168" t="s">
        <v>130</v>
      </c>
      <c r="I90" s="172" t="s">
        <v>129</v>
      </c>
      <c r="J90" s="172" t="s">
        <v>127</v>
      </c>
      <c r="K90" s="104"/>
      <c r="L90" s="104"/>
      <c r="M90" s="104"/>
    </row>
    <row r="91" spans="1:13" s="136" customFormat="1" ht="20.100000000000001" customHeight="1" x14ac:dyDescent="0.25">
      <c r="A91" s="173" t="s">
        <v>131</v>
      </c>
      <c r="B91" s="173"/>
      <c r="C91" s="174"/>
      <c r="D91" s="174"/>
      <c r="E91" s="174"/>
      <c r="F91" s="174"/>
      <c r="G91" s="174"/>
      <c r="H91" s="174"/>
      <c r="I91" s="174"/>
      <c r="J91" s="174"/>
      <c r="K91" s="104"/>
      <c r="L91" s="104"/>
      <c r="M91" s="104"/>
    </row>
    <row r="92" spans="1:13" s="136" customFormat="1" ht="58.2" customHeight="1" x14ac:dyDescent="0.25">
      <c r="A92" s="175" t="s">
        <v>132</v>
      </c>
      <c r="B92" s="177" t="str">
        <f>IF(OR(A$70=2,A$70=3,AND(A$70&gt;5,A$70&lt;12)),IF(AND(Y$13&lt;&gt;"Oui"),MIN(550000,ROUND(E$7*0.6,0)),MIN((N(E92)+N(H92)),ROUND(E$7*0.84,0))),"S/O")</f>
        <v>S/O</v>
      </c>
      <c r="C92" s="179" t="str">
        <f>IF(OR(A$70=2,A$70=3,AND(A$70&gt;5,A$70&lt;12)),IF(OR(B92&lt;C33+C49,F92="Non",I92="Non"),"Non","Oui"),"S/O")</f>
        <v>S/O</v>
      </c>
      <c r="D92" s="177" t="str">
        <f>IF(C92="Non",MAX(C33+C49-B92,IF(G92="S/O",0,G92)+IF(J92="S/O",0,J92)),"S/O")</f>
        <v>S/O</v>
      </c>
      <c r="E92" s="133" t="str">
        <f>IF(OR(A$70=2,A$70=3,AND(A$70&gt;5,A$70&lt;12)),MIN(550000,ROUND(E7*0.6,0)),"S/O")</f>
        <v>S/O</v>
      </c>
      <c r="F92" s="179" t="str">
        <f>IF(OR(A$70=2,A$70=3,AND(A$70&gt;5,A$70&lt;12)),IF(E92&gt;=E15,"Oui","Non"),"S/O")</f>
        <v>S/O</v>
      </c>
      <c r="G92" s="179" t="str">
        <f>IF($F92="Non",E15-E92,"S/O")</f>
        <v>S/O</v>
      </c>
      <c r="H92" s="392" t="str">
        <f>IF(OR(A$70=2,A$70=3,AND(A$70&gt;5,A$70&lt;12)),
IF(Y$13="Oui",IF(MAX(84%*E$7-E92,0)&lt;E$7*F$9,MIN(ROUND(E$7*F$9,0),ROUND(MAX(84%*E$7-MIN(E92,E41),0),0)),
ROUND(E$7*F$9,0)),"S/O"),"S/O")</f>
        <v>S/O</v>
      </c>
      <c r="I92" s="179" t="str">
        <f>IF(OR(A$70=2,A$70=3,AND(A$70&gt;5,A$70&lt;12)),IF(Y13="Oui",IF(H92&gt;=(Y14),"Oui","Non"),"S/O"),"S/O")</f>
        <v>S/O</v>
      </c>
      <c r="J92" s="180" t="str">
        <f>IF(I92="Non",Y14-H92,"S/O")</f>
        <v>S/O</v>
      </c>
      <c r="K92" s="104"/>
      <c r="L92" s="104"/>
      <c r="M92" s="104"/>
    </row>
    <row r="93" spans="1:13" s="136" customFormat="1" ht="20.100000000000001" customHeight="1" x14ac:dyDescent="0.25">
      <c r="A93" s="173" t="s">
        <v>133</v>
      </c>
      <c r="B93" s="173"/>
      <c r="C93" s="174"/>
      <c r="D93" s="174"/>
      <c r="E93" s="174"/>
      <c r="F93" s="174"/>
      <c r="G93" s="174"/>
      <c r="H93" s="174"/>
      <c r="I93" s="174"/>
      <c r="J93" s="174"/>
      <c r="K93" s="104"/>
      <c r="L93" s="104"/>
      <c r="M93" s="104"/>
    </row>
    <row r="94" spans="1:13" s="136" customFormat="1" ht="58.2" customHeight="1" x14ac:dyDescent="0.25">
      <c r="A94" s="181" t="s">
        <v>134</v>
      </c>
      <c r="B94" s="177" t="str">
        <f>IF(OR(A$70=4,A$70=5,AND(A$70&gt;11,A$70&lt;18)),IF(AND(Y$13&lt;&gt;"Oui"),MIN(550000,ROUND(E$7*60%,0)),MIN((N(E94)+N(H94)),ROUND(E$7*84%,0))),"S/O")</f>
        <v>S/O</v>
      </c>
      <c r="C94" s="179" t="str">
        <f>IF(OR(A$70=4,A$70=5,AND(A$70&gt;11,A$70&lt;18)),IF(OR(B94&lt;C33+C49,F94="Non",I94="Non"),"Non","Oui"),"S/O")</f>
        <v>S/O</v>
      </c>
      <c r="D94" s="177" t="str">
        <f>IF(C94="Non",MAX(C33+C49-B94,IF(G94="S/O",0,G94)+IF(J94="S/O",0,J94)),"S/O")</f>
        <v>S/O</v>
      </c>
      <c r="E94" s="177" t="str">
        <f>IF(OR(A$70=4,A$70=5,AND(A$70&gt;11,A$70&lt;18)),MIN(750000,ROUND(E7*0.6,0)),"S/O")</f>
        <v>S/O</v>
      </c>
      <c r="F94" s="179" t="str">
        <f>IF(OR(A$70=4,A$70=5,AND(A$70&gt;11,A$70&lt;18)),IF(E94&gt;=E15,"Oui","Non"),"S/O")</f>
        <v>S/O</v>
      </c>
      <c r="G94" s="180" t="str">
        <f>IF(F94="Non",E15-E94,"S/O")</f>
        <v>S/O</v>
      </c>
      <c r="H94" s="392" t="str">
        <f>IF(OR(A$70=4,A$70=5,AND(A$70&gt;11,A$70&lt;18)),
IF(Y13="Oui",IF(MAX(84%*E$7-E94,0)&lt;E$7*F$9,MIN(ROUND(E$7*F$9,0),ROUND(MAX(84%*E$7-MIN(E94,E41),0),0)),
ROUND(E$7*F$9,0)),"S/O"),"S/O")</f>
        <v>S/O</v>
      </c>
      <c r="I94" s="180" t="str">
        <f>IF(OR(A$70=4,A$70=5,AND(A$70&gt;11,A$70&lt;18)),IF(Y13="Oui",IF(H94&gt;=Y14,"Oui","Non"),"S/O"),"S/O")</f>
        <v>S/O</v>
      </c>
      <c r="J94" s="180" t="str">
        <f>IF(I94="Non",Y14-H94,"S/O")</f>
        <v>S/O</v>
      </c>
      <c r="K94" s="104"/>
      <c r="L94" s="104"/>
      <c r="M94" s="104"/>
    </row>
    <row r="95" spans="1:13" s="136" customFormat="1" ht="20.100000000000001" customHeight="1" x14ac:dyDescent="0.25">
      <c r="A95" s="182"/>
      <c r="C95" s="182"/>
      <c r="D95" s="182"/>
      <c r="E95" s="182"/>
      <c r="F95" s="182"/>
      <c r="G95" s="182"/>
      <c r="H95" s="182"/>
      <c r="I95" s="182"/>
      <c r="J95" s="182"/>
      <c r="K95" s="182"/>
      <c r="L95" s="183"/>
      <c r="M95" s="183"/>
    </row>
    <row r="96" spans="1:13" s="136" customFormat="1" ht="30" hidden="1" customHeight="1" x14ac:dyDescent="0.25">
      <c r="A96" s="184" t="s">
        <v>135</v>
      </c>
      <c r="B96" s="508" t="s">
        <v>119</v>
      </c>
      <c r="C96" s="509"/>
      <c r="D96" s="505" t="s">
        <v>136</v>
      </c>
      <c r="E96" s="506"/>
      <c r="F96" s="507"/>
      <c r="G96" s="182"/>
      <c r="H96" s="182"/>
      <c r="I96" s="182"/>
      <c r="J96" s="182"/>
      <c r="K96" s="182"/>
      <c r="L96" s="182"/>
      <c r="M96" s="182"/>
    </row>
    <row r="97" spans="1:43" s="136" customFormat="1" ht="30" hidden="1" customHeight="1" x14ac:dyDescent="0.25">
      <c r="A97" s="184" t="s">
        <v>135</v>
      </c>
      <c r="B97" s="508" t="s">
        <v>117</v>
      </c>
      <c r="C97" s="509"/>
      <c r="D97" s="510" t="s">
        <v>137</v>
      </c>
      <c r="E97" s="511"/>
      <c r="F97" s="512"/>
      <c r="G97" s="182"/>
      <c r="H97" s="182"/>
      <c r="I97" s="182"/>
      <c r="J97" s="182"/>
      <c r="K97" s="182"/>
      <c r="L97" s="182"/>
      <c r="M97" s="182"/>
    </row>
    <row r="98" spans="1:43" s="187" customFormat="1" x14ac:dyDescent="0.3">
      <c r="A98" s="185"/>
      <c r="B98" s="186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</row>
    <row r="99" spans="1:43" s="187" customFormat="1" x14ac:dyDescent="0.3">
      <c r="A99" s="185"/>
      <c r="B99" s="186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</row>
    <row r="100" spans="1:43" s="187" customFormat="1" x14ac:dyDescent="0.3">
      <c r="A100" s="185"/>
      <c r="B100" s="186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</row>
    <row r="101" spans="1:43" s="187" customFormat="1" x14ac:dyDescent="0.3">
      <c r="A101" s="185"/>
      <c r="B101" s="186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</row>
    <row r="102" spans="1:43" s="187" customFormat="1" x14ac:dyDescent="0.3">
      <c r="A102" s="185"/>
      <c r="B102" s="186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</row>
    <row r="103" spans="1:43" s="187" customFormat="1" x14ac:dyDescent="0.3">
      <c r="A103" s="185"/>
      <c r="B103" s="186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</row>
    <row r="104" spans="1:43" s="187" customFormat="1" x14ac:dyDescent="0.3">
      <c r="A104" s="185"/>
      <c r="B104" s="186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</row>
    <row r="105" spans="1:43" s="187" customFormat="1" x14ac:dyDescent="0.3">
      <c r="A105" s="185"/>
      <c r="B105" s="186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</row>
    <row r="106" spans="1:43" s="187" customFormat="1" x14ac:dyDescent="0.3">
      <c r="A106" s="185"/>
      <c r="B106" s="186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</row>
    <row r="107" spans="1:43" s="187" customFormat="1" x14ac:dyDescent="0.3">
      <c r="A107" s="185"/>
      <c r="B107" s="186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</row>
    <row r="108" spans="1:43" s="187" customFormat="1" x14ac:dyDescent="0.3">
      <c r="A108" s="185"/>
      <c r="B108" s="186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85"/>
      <c r="AH108" s="185"/>
      <c r="AI108" s="185"/>
      <c r="AJ108" s="185"/>
      <c r="AK108" s="185"/>
      <c r="AL108" s="185"/>
      <c r="AM108" s="185"/>
      <c r="AN108" s="185"/>
      <c r="AO108" s="185"/>
      <c r="AP108" s="185"/>
      <c r="AQ108" s="185"/>
    </row>
    <row r="109" spans="1:43" s="187" customFormat="1" x14ac:dyDescent="0.3">
      <c r="A109" s="185"/>
      <c r="B109" s="186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5"/>
      <c r="AI109" s="185"/>
      <c r="AJ109" s="185"/>
      <c r="AK109" s="185"/>
      <c r="AL109" s="185"/>
      <c r="AM109" s="185"/>
      <c r="AN109" s="185"/>
      <c r="AO109" s="185"/>
      <c r="AP109" s="185"/>
      <c r="AQ109" s="185"/>
    </row>
    <row r="110" spans="1:43" s="187" customFormat="1" x14ac:dyDescent="0.3">
      <c r="A110" s="185"/>
      <c r="B110" s="186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85"/>
    </row>
    <row r="111" spans="1:43" s="187" customFormat="1" x14ac:dyDescent="0.3">
      <c r="A111" s="185"/>
      <c r="B111" s="186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85"/>
      <c r="AI111" s="185"/>
      <c r="AJ111" s="185"/>
      <c r="AK111" s="185"/>
      <c r="AL111" s="185"/>
      <c r="AM111" s="185"/>
      <c r="AN111" s="185"/>
      <c r="AO111" s="185"/>
      <c r="AP111" s="185"/>
      <c r="AQ111" s="185"/>
    </row>
    <row r="112" spans="1:43" s="187" customFormat="1" x14ac:dyDescent="0.3">
      <c r="A112" s="185"/>
      <c r="B112" s="186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85"/>
      <c r="AM112" s="185"/>
      <c r="AN112" s="185"/>
      <c r="AO112" s="185"/>
      <c r="AP112" s="185"/>
      <c r="AQ112" s="185"/>
    </row>
    <row r="113" spans="1:43" s="187" customFormat="1" x14ac:dyDescent="0.3">
      <c r="A113" s="185"/>
      <c r="B113" s="186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5"/>
      <c r="AM113" s="185"/>
      <c r="AN113" s="185"/>
      <c r="AO113" s="185"/>
      <c r="AP113" s="185"/>
      <c r="AQ113" s="185"/>
    </row>
    <row r="114" spans="1:43" s="187" customFormat="1" x14ac:dyDescent="0.3">
      <c r="A114" s="185"/>
      <c r="B114" s="186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</row>
    <row r="115" spans="1:43" s="187" customFormat="1" x14ac:dyDescent="0.3">
      <c r="A115" s="185"/>
      <c r="B115" s="186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</row>
    <row r="116" spans="1:43" s="187" customFormat="1" x14ac:dyDescent="0.3">
      <c r="A116" s="185"/>
      <c r="B116" s="186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</row>
    <row r="117" spans="1:43" s="187" customFormat="1" x14ac:dyDescent="0.3">
      <c r="A117" s="185"/>
      <c r="B117" s="186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</row>
    <row r="118" spans="1:43" s="187" customFormat="1" x14ac:dyDescent="0.3">
      <c r="A118" s="185"/>
      <c r="B118" s="186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</row>
    <row r="119" spans="1:43" s="187" customFormat="1" x14ac:dyDescent="0.3">
      <c r="A119" s="185"/>
      <c r="B119" s="186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</row>
    <row r="120" spans="1:43" s="187" customFormat="1" x14ac:dyDescent="0.3">
      <c r="A120" s="185"/>
      <c r="B120" s="186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</row>
    <row r="121" spans="1:43" s="187" customFormat="1" x14ac:dyDescent="0.3">
      <c r="A121" s="185"/>
      <c r="B121" s="186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</row>
    <row r="122" spans="1:43" s="187" customFormat="1" x14ac:dyDescent="0.3">
      <c r="A122" s="185"/>
      <c r="B122" s="186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</row>
    <row r="123" spans="1:43" s="187" customFormat="1" x14ac:dyDescent="0.3">
      <c r="A123" s="185"/>
      <c r="B123" s="186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  <c r="AQ123" s="185"/>
    </row>
    <row r="124" spans="1:43" s="187" customFormat="1" x14ac:dyDescent="0.3">
      <c r="A124" s="185"/>
      <c r="B124" s="186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  <c r="AQ124" s="185"/>
    </row>
    <row r="125" spans="1:43" s="187" customFormat="1" x14ac:dyDescent="0.3">
      <c r="A125" s="185"/>
      <c r="B125" s="186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5"/>
      <c r="AE125" s="185"/>
      <c r="AF125" s="185"/>
      <c r="AG125" s="185"/>
      <c r="AH125" s="185"/>
      <c r="AI125" s="185"/>
      <c r="AJ125" s="185"/>
      <c r="AK125" s="185"/>
      <c r="AL125" s="185"/>
      <c r="AM125" s="185"/>
      <c r="AN125" s="185"/>
      <c r="AO125" s="185"/>
      <c r="AP125" s="185"/>
      <c r="AQ125" s="185"/>
    </row>
    <row r="126" spans="1:43" s="187" customFormat="1" x14ac:dyDescent="0.3">
      <c r="A126" s="185"/>
      <c r="B126" s="186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</row>
    <row r="127" spans="1:43" s="187" customFormat="1" x14ac:dyDescent="0.3">
      <c r="A127" s="185"/>
      <c r="B127" s="186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5"/>
      <c r="AM127" s="185"/>
      <c r="AN127" s="185"/>
      <c r="AO127" s="185"/>
      <c r="AP127" s="185"/>
      <c r="AQ127" s="185"/>
    </row>
    <row r="128" spans="1:43" s="187" customFormat="1" x14ac:dyDescent="0.3">
      <c r="A128" s="185"/>
      <c r="B128" s="186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</row>
    <row r="129" spans="1:43" s="187" customFormat="1" x14ac:dyDescent="0.3">
      <c r="A129" s="185"/>
      <c r="B129" s="186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</row>
    <row r="130" spans="1:43" s="187" customFormat="1" x14ac:dyDescent="0.3">
      <c r="A130" s="185"/>
      <c r="B130" s="186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</row>
    <row r="131" spans="1:43" s="187" customFormat="1" x14ac:dyDescent="0.3">
      <c r="A131" s="185"/>
      <c r="B131" s="186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</row>
    <row r="132" spans="1:43" s="187" customFormat="1" x14ac:dyDescent="0.3">
      <c r="A132" s="185"/>
      <c r="B132" s="186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</row>
    <row r="133" spans="1:43" s="187" customFormat="1" x14ac:dyDescent="0.3">
      <c r="A133" s="185"/>
      <c r="B133" s="186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</row>
    <row r="134" spans="1:43" s="187" customFormat="1" x14ac:dyDescent="0.3">
      <c r="A134" s="185"/>
      <c r="B134" s="186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</row>
    <row r="135" spans="1:43" s="187" customFormat="1" x14ac:dyDescent="0.3">
      <c r="A135" s="185"/>
      <c r="B135" s="186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</row>
    <row r="136" spans="1:43" s="187" customFormat="1" x14ac:dyDescent="0.3">
      <c r="A136" s="185"/>
      <c r="B136" s="186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</row>
    <row r="137" spans="1:43" s="187" customFormat="1" x14ac:dyDescent="0.3">
      <c r="A137" s="185"/>
      <c r="B137" s="186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5"/>
      <c r="AL137" s="185"/>
      <c r="AM137" s="185"/>
      <c r="AN137" s="185"/>
      <c r="AO137" s="185"/>
      <c r="AP137" s="185"/>
      <c r="AQ137" s="185"/>
    </row>
    <row r="138" spans="1:43" s="187" customFormat="1" x14ac:dyDescent="0.3">
      <c r="A138" s="185"/>
      <c r="B138" s="186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</row>
    <row r="139" spans="1:43" s="187" customFormat="1" x14ac:dyDescent="0.3">
      <c r="A139" s="185"/>
      <c r="B139" s="186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</row>
    <row r="140" spans="1:43" s="187" customFormat="1" x14ac:dyDescent="0.3">
      <c r="A140" s="185"/>
      <c r="B140" s="186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</row>
    <row r="141" spans="1:43" s="187" customFormat="1" x14ac:dyDescent="0.3">
      <c r="A141" s="185"/>
      <c r="B141" s="186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</row>
    <row r="142" spans="1:43" s="187" customFormat="1" x14ac:dyDescent="0.3">
      <c r="A142" s="185"/>
      <c r="B142" s="186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5"/>
      <c r="AL142" s="185"/>
      <c r="AM142" s="185"/>
      <c r="AN142" s="185"/>
      <c r="AO142" s="185"/>
      <c r="AP142" s="185"/>
      <c r="AQ142" s="185"/>
    </row>
    <row r="143" spans="1:43" s="187" customFormat="1" x14ac:dyDescent="0.3">
      <c r="A143" s="185"/>
      <c r="B143" s="186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</row>
    <row r="144" spans="1:43" s="187" customFormat="1" x14ac:dyDescent="0.3">
      <c r="A144" s="185"/>
      <c r="B144" s="186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5"/>
      <c r="AL144" s="185"/>
      <c r="AM144" s="185"/>
      <c r="AN144" s="185"/>
      <c r="AO144" s="185"/>
      <c r="AP144" s="185"/>
      <c r="AQ144" s="185"/>
    </row>
    <row r="145" spans="1:43" s="187" customFormat="1" x14ac:dyDescent="0.3">
      <c r="A145" s="185"/>
      <c r="B145" s="186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  <c r="AL145" s="185"/>
      <c r="AM145" s="185"/>
      <c r="AN145" s="185"/>
      <c r="AO145" s="185"/>
      <c r="AP145" s="185"/>
      <c r="AQ145" s="185"/>
    </row>
    <row r="146" spans="1:43" s="187" customFormat="1" x14ac:dyDescent="0.3">
      <c r="A146" s="185"/>
      <c r="B146" s="186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</row>
    <row r="147" spans="1:43" s="187" customFormat="1" x14ac:dyDescent="0.3">
      <c r="A147" s="185"/>
      <c r="B147" s="186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</row>
    <row r="148" spans="1:43" s="187" customFormat="1" x14ac:dyDescent="0.3">
      <c r="A148" s="185"/>
      <c r="B148" s="186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</row>
    <row r="149" spans="1:43" s="187" customFormat="1" x14ac:dyDescent="0.3">
      <c r="A149" s="185"/>
      <c r="B149" s="186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</row>
    <row r="150" spans="1:43" s="187" customFormat="1" x14ac:dyDescent="0.3">
      <c r="A150" s="185"/>
      <c r="B150" s="186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</row>
    <row r="151" spans="1:43" s="187" customFormat="1" x14ac:dyDescent="0.3">
      <c r="A151" s="185"/>
      <c r="B151" s="186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</row>
    <row r="152" spans="1:43" s="187" customFormat="1" x14ac:dyDescent="0.3">
      <c r="A152" s="185"/>
      <c r="B152" s="186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</row>
    <row r="153" spans="1:43" s="187" customFormat="1" x14ac:dyDescent="0.3">
      <c r="A153" s="185"/>
      <c r="B153" s="186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</row>
    <row r="154" spans="1:43" s="187" customFormat="1" x14ac:dyDescent="0.3">
      <c r="A154" s="185"/>
      <c r="B154" s="186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</row>
    <row r="155" spans="1:43" s="187" customFormat="1" x14ac:dyDescent="0.3">
      <c r="A155" s="185"/>
      <c r="B155" s="186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</row>
    <row r="156" spans="1:43" s="187" customFormat="1" x14ac:dyDescent="0.3">
      <c r="A156" s="185"/>
      <c r="B156" s="186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</row>
    <row r="157" spans="1:43" s="187" customFormat="1" x14ac:dyDescent="0.3">
      <c r="A157" s="185"/>
      <c r="B157" s="186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</row>
    <row r="158" spans="1:43" s="187" customFormat="1" x14ac:dyDescent="0.3">
      <c r="A158" s="185"/>
      <c r="B158" s="186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</row>
    <row r="159" spans="1:43" s="187" customFormat="1" x14ac:dyDescent="0.3">
      <c r="A159" s="185"/>
      <c r="B159" s="186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</row>
    <row r="160" spans="1:43" s="187" customFormat="1" x14ac:dyDescent="0.3">
      <c r="A160" s="185"/>
      <c r="B160" s="186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</row>
    <row r="161" spans="1:43" s="187" customFormat="1" x14ac:dyDescent="0.3">
      <c r="A161" s="185"/>
      <c r="B161" s="186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5"/>
      <c r="AM161" s="185"/>
      <c r="AN161" s="185"/>
      <c r="AO161" s="185"/>
      <c r="AP161" s="185"/>
      <c r="AQ161" s="185"/>
    </row>
    <row r="162" spans="1:43" s="187" customFormat="1" x14ac:dyDescent="0.3">
      <c r="A162" s="185"/>
      <c r="B162" s="186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</row>
    <row r="163" spans="1:43" s="187" customFormat="1" x14ac:dyDescent="0.3">
      <c r="A163" s="185"/>
      <c r="B163" s="186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  <c r="AB163" s="185"/>
      <c r="AC163" s="185"/>
      <c r="AD163" s="185"/>
      <c r="AE163" s="185"/>
      <c r="AF163" s="185"/>
      <c r="AG163" s="185"/>
      <c r="AH163" s="185"/>
      <c r="AI163" s="185"/>
      <c r="AJ163" s="185"/>
      <c r="AK163" s="185"/>
      <c r="AL163" s="185"/>
      <c r="AM163" s="185"/>
      <c r="AN163" s="185"/>
      <c r="AO163" s="185"/>
      <c r="AP163" s="185"/>
      <c r="AQ163" s="185"/>
    </row>
    <row r="164" spans="1:43" s="187" customFormat="1" x14ac:dyDescent="0.3">
      <c r="A164" s="185"/>
      <c r="B164" s="186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</row>
    <row r="165" spans="1:43" s="187" customFormat="1" x14ac:dyDescent="0.3">
      <c r="A165" s="185"/>
      <c r="B165" s="186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</row>
    <row r="166" spans="1:43" s="187" customFormat="1" x14ac:dyDescent="0.3">
      <c r="A166" s="185"/>
      <c r="B166" s="186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</row>
    <row r="167" spans="1:43" s="187" customFormat="1" x14ac:dyDescent="0.3">
      <c r="A167" s="185"/>
      <c r="B167" s="186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</row>
    <row r="168" spans="1:43" s="187" customFormat="1" x14ac:dyDescent="0.3">
      <c r="A168" s="185"/>
      <c r="B168" s="186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</row>
    <row r="169" spans="1:43" s="187" customFormat="1" x14ac:dyDescent="0.3">
      <c r="A169" s="185"/>
      <c r="B169" s="186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</row>
    <row r="170" spans="1:43" s="187" customFormat="1" x14ac:dyDescent="0.3">
      <c r="A170" s="185"/>
      <c r="B170" s="186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</row>
    <row r="171" spans="1:43" s="187" customFormat="1" x14ac:dyDescent="0.3">
      <c r="A171" s="185"/>
      <c r="B171" s="186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</row>
    <row r="172" spans="1:43" s="187" customFormat="1" x14ac:dyDescent="0.3">
      <c r="A172" s="185"/>
      <c r="B172" s="186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</row>
    <row r="173" spans="1:43" s="187" customFormat="1" x14ac:dyDescent="0.3">
      <c r="A173" s="185"/>
      <c r="B173" s="186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</row>
    <row r="174" spans="1:43" s="187" customFormat="1" x14ac:dyDescent="0.3">
      <c r="A174" s="185"/>
      <c r="B174" s="186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</row>
    <row r="175" spans="1:43" s="187" customFormat="1" x14ac:dyDescent="0.3">
      <c r="A175" s="185"/>
      <c r="B175" s="186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</row>
    <row r="176" spans="1:43" s="187" customFormat="1" x14ac:dyDescent="0.3">
      <c r="A176" s="185"/>
      <c r="B176" s="186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</row>
    <row r="177" spans="1:43" s="187" customFormat="1" x14ac:dyDescent="0.3">
      <c r="A177" s="185"/>
      <c r="B177" s="186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</row>
    <row r="178" spans="1:43" s="187" customFormat="1" x14ac:dyDescent="0.3">
      <c r="A178" s="185"/>
      <c r="B178" s="186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</row>
    <row r="179" spans="1:43" s="187" customFormat="1" x14ac:dyDescent="0.3">
      <c r="A179" s="185"/>
      <c r="B179" s="186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  <c r="AB179" s="185"/>
      <c r="AC179" s="185"/>
      <c r="AD179" s="185"/>
      <c r="AE179" s="185"/>
      <c r="AF179" s="185"/>
      <c r="AG179" s="185"/>
      <c r="AH179" s="185"/>
      <c r="AI179" s="185"/>
      <c r="AJ179" s="185"/>
      <c r="AK179" s="185"/>
      <c r="AL179" s="185"/>
      <c r="AM179" s="185"/>
      <c r="AN179" s="185"/>
      <c r="AO179" s="185"/>
      <c r="AP179" s="185"/>
      <c r="AQ179" s="185"/>
    </row>
    <row r="180" spans="1:43" s="187" customFormat="1" x14ac:dyDescent="0.3">
      <c r="A180" s="185"/>
      <c r="B180" s="186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  <c r="AC180" s="185"/>
      <c r="AD180" s="185"/>
      <c r="AE180" s="185"/>
      <c r="AF180" s="185"/>
      <c r="AG180" s="185"/>
      <c r="AH180" s="185"/>
      <c r="AI180" s="185"/>
      <c r="AJ180" s="185"/>
      <c r="AK180" s="185"/>
      <c r="AL180" s="185"/>
      <c r="AM180" s="185"/>
      <c r="AN180" s="185"/>
      <c r="AO180" s="185"/>
      <c r="AP180" s="185"/>
      <c r="AQ180" s="185"/>
    </row>
    <row r="181" spans="1:43" s="187" customFormat="1" x14ac:dyDescent="0.3">
      <c r="A181" s="185"/>
      <c r="B181" s="186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5"/>
      <c r="AL181" s="185"/>
      <c r="AM181" s="185"/>
      <c r="AN181" s="185"/>
      <c r="AO181" s="185"/>
      <c r="AP181" s="185"/>
      <c r="AQ181" s="185"/>
    </row>
    <row r="182" spans="1:43" s="187" customFormat="1" x14ac:dyDescent="0.3">
      <c r="A182" s="185"/>
      <c r="B182" s="186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</row>
    <row r="183" spans="1:43" s="187" customFormat="1" x14ac:dyDescent="0.3">
      <c r="A183" s="185"/>
      <c r="B183" s="186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</row>
    <row r="184" spans="1:43" s="187" customFormat="1" x14ac:dyDescent="0.3">
      <c r="A184" s="185"/>
      <c r="B184" s="186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</row>
    <row r="185" spans="1:43" s="187" customFormat="1" x14ac:dyDescent="0.3">
      <c r="A185" s="185"/>
      <c r="B185" s="186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  <c r="AB185" s="185"/>
      <c r="AC185" s="185"/>
      <c r="AD185" s="185"/>
      <c r="AE185" s="185"/>
      <c r="AF185" s="185"/>
      <c r="AG185" s="185"/>
      <c r="AH185" s="185"/>
      <c r="AI185" s="185"/>
      <c r="AJ185" s="185"/>
      <c r="AK185" s="185"/>
      <c r="AL185" s="185"/>
      <c r="AM185" s="185"/>
      <c r="AN185" s="185"/>
      <c r="AO185" s="185"/>
      <c r="AP185" s="185"/>
      <c r="AQ185" s="185"/>
    </row>
    <row r="186" spans="1:43" s="187" customFormat="1" x14ac:dyDescent="0.3">
      <c r="A186" s="185"/>
      <c r="B186" s="186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</row>
    <row r="187" spans="1:43" s="187" customFormat="1" x14ac:dyDescent="0.3">
      <c r="A187" s="185"/>
      <c r="B187" s="186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</row>
    <row r="188" spans="1:43" s="187" customFormat="1" x14ac:dyDescent="0.3">
      <c r="A188" s="185"/>
      <c r="B188" s="186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</row>
    <row r="189" spans="1:43" s="187" customFormat="1" x14ac:dyDescent="0.3">
      <c r="A189" s="185"/>
      <c r="B189" s="186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</row>
    <row r="190" spans="1:43" s="187" customFormat="1" x14ac:dyDescent="0.3">
      <c r="A190" s="185"/>
      <c r="B190" s="186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</row>
    <row r="191" spans="1:43" s="187" customFormat="1" x14ac:dyDescent="0.3">
      <c r="A191" s="185"/>
      <c r="B191" s="186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</row>
    <row r="192" spans="1:43" s="187" customFormat="1" x14ac:dyDescent="0.3">
      <c r="A192" s="185"/>
      <c r="B192" s="186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</row>
    <row r="193" spans="1:43" s="187" customFormat="1" x14ac:dyDescent="0.3">
      <c r="A193" s="185"/>
      <c r="B193" s="186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</row>
    <row r="194" spans="1:43" s="187" customFormat="1" x14ac:dyDescent="0.3">
      <c r="A194" s="185"/>
      <c r="B194" s="186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</row>
    <row r="195" spans="1:43" s="187" customFormat="1" x14ac:dyDescent="0.3">
      <c r="A195" s="185"/>
      <c r="B195" s="186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</row>
    <row r="196" spans="1:43" s="187" customFormat="1" x14ac:dyDescent="0.3">
      <c r="A196" s="185"/>
      <c r="B196" s="186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</row>
    <row r="197" spans="1:43" s="187" customFormat="1" x14ac:dyDescent="0.3">
      <c r="A197" s="185"/>
      <c r="B197" s="186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</row>
    <row r="198" spans="1:43" s="187" customFormat="1" x14ac:dyDescent="0.3">
      <c r="A198" s="185"/>
      <c r="B198" s="186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</row>
    <row r="199" spans="1:43" s="187" customFormat="1" x14ac:dyDescent="0.3">
      <c r="A199" s="185"/>
      <c r="B199" s="186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85"/>
      <c r="AF199" s="185"/>
      <c r="AG199" s="185"/>
      <c r="AH199" s="185"/>
      <c r="AI199" s="185"/>
      <c r="AJ199" s="185"/>
      <c r="AK199" s="185"/>
      <c r="AL199" s="185"/>
      <c r="AM199" s="185"/>
      <c r="AN199" s="185"/>
      <c r="AO199" s="185"/>
      <c r="AP199" s="185"/>
      <c r="AQ199" s="185"/>
    </row>
    <row r="200" spans="1:43" s="187" customFormat="1" x14ac:dyDescent="0.3">
      <c r="A200" s="185"/>
      <c r="B200" s="186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5"/>
      <c r="AM200" s="185"/>
      <c r="AN200" s="185"/>
      <c r="AO200" s="185"/>
      <c r="AP200" s="185"/>
      <c r="AQ200" s="185"/>
    </row>
    <row r="201" spans="1:43" s="187" customFormat="1" x14ac:dyDescent="0.3">
      <c r="A201" s="185"/>
      <c r="B201" s="186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</row>
    <row r="202" spans="1:43" s="187" customFormat="1" x14ac:dyDescent="0.3">
      <c r="A202" s="185"/>
      <c r="B202" s="186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  <c r="AB202" s="185"/>
      <c r="AC202" s="185"/>
      <c r="AD202" s="185"/>
      <c r="AE202" s="185"/>
      <c r="AF202" s="185"/>
      <c r="AG202" s="185"/>
      <c r="AH202" s="185"/>
      <c r="AI202" s="185"/>
      <c r="AJ202" s="185"/>
      <c r="AK202" s="185"/>
      <c r="AL202" s="185"/>
      <c r="AM202" s="185"/>
      <c r="AN202" s="185"/>
      <c r="AO202" s="185"/>
      <c r="AP202" s="185"/>
      <c r="AQ202" s="185"/>
    </row>
    <row r="203" spans="1:43" s="187" customFormat="1" x14ac:dyDescent="0.3">
      <c r="A203" s="185"/>
      <c r="B203" s="186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  <c r="AA203" s="185"/>
      <c r="AB203" s="185"/>
      <c r="AC203" s="185"/>
      <c r="AD203" s="185"/>
      <c r="AE203" s="185"/>
      <c r="AF203" s="185"/>
      <c r="AG203" s="185"/>
      <c r="AH203" s="185"/>
      <c r="AI203" s="185"/>
      <c r="AJ203" s="185"/>
      <c r="AK203" s="185"/>
      <c r="AL203" s="185"/>
      <c r="AM203" s="185"/>
      <c r="AN203" s="185"/>
      <c r="AO203" s="185"/>
      <c r="AP203" s="185"/>
      <c r="AQ203" s="185"/>
    </row>
    <row r="204" spans="1:43" s="187" customFormat="1" x14ac:dyDescent="0.3">
      <c r="A204" s="185"/>
      <c r="B204" s="186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</row>
    <row r="205" spans="1:43" s="187" customFormat="1" x14ac:dyDescent="0.3">
      <c r="A205" s="185"/>
      <c r="B205" s="186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</row>
    <row r="206" spans="1:43" s="187" customFormat="1" x14ac:dyDescent="0.3">
      <c r="A206" s="185"/>
      <c r="B206" s="186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</row>
    <row r="207" spans="1:43" s="187" customFormat="1" x14ac:dyDescent="0.3">
      <c r="A207" s="185"/>
      <c r="B207" s="186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</row>
    <row r="208" spans="1:43" s="187" customFormat="1" x14ac:dyDescent="0.3">
      <c r="A208" s="185"/>
      <c r="B208" s="186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</row>
    <row r="209" spans="1:43" s="187" customFormat="1" x14ac:dyDescent="0.3">
      <c r="A209" s="185"/>
      <c r="B209" s="186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</row>
    <row r="210" spans="1:43" s="187" customFormat="1" x14ac:dyDescent="0.3">
      <c r="A210" s="185"/>
      <c r="B210" s="186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</row>
    <row r="211" spans="1:43" s="187" customFormat="1" x14ac:dyDescent="0.3">
      <c r="A211" s="185"/>
      <c r="B211" s="186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</row>
    <row r="212" spans="1:43" s="187" customFormat="1" x14ac:dyDescent="0.3">
      <c r="A212" s="185"/>
      <c r="B212" s="186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</row>
    <row r="213" spans="1:43" s="187" customFormat="1" x14ac:dyDescent="0.3">
      <c r="A213" s="185"/>
      <c r="B213" s="186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5"/>
      <c r="AL213" s="185"/>
      <c r="AM213" s="185"/>
      <c r="AN213" s="185"/>
      <c r="AO213" s="185"/>
      <c r="AP213" s="185"/>
      <c r="AQ213" s="185"/>
    </row>
    <row r="214" spans="1:43" s="187" customFormat="1" x14ac:dyDescent="0.3">
      <c r="A214" s="185"/>
      <c r="B214" s="186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  <c r="AA214" s="185"/>
      <c r="AB214" s="185"/>
      <c r="AC214" s="185"/>
      <c r="AD214" s="185"/>
      <c r="AE214" s="185"/>
      <c r="AF214" s="185"/>
      <c r="AG214" s="185"/>
      <c r="AH214" s="185"/>
      <c r="AI214" s="185"/>
      <c r="AJ214" s="185"/>
      <c r="AK214" s="185"/>
      <c r="AL214" s="185"/>
      <c r="AM214" s="185"/>
      <c r="AN214" s="185"/>
      <c r="AO214" s="185"/>
      <c r="AP214" s="185"/>
      <c r="AQ214" s="185"/>
    </row>
    <row r="215" spans="1:43" s="187" customFormat="1" x14ac:dyDescent="0.3">
      <c r="A215" s="185"/>
      <c r="B215" s="186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85"/>
      <c r="Y215" s="185"/>
      <c r="Z215" s="185"/>
      <c r="AA215" s="185"/>
      <c r="AB215" s="185"/>
      <c r="AC215" s="185"/>
      <c r="AD215" s="185"/>
      <c r="AE215" s="185"/>
      <c r="AF215" s="185"/>
      <c r="AG215" s="185"/>
      <c r="AH215" s="185"/>
      <c r="AI215" s="185"/>
      <c r="AJ215" s="185"/>
      <c r="AK215" s="185"/>
      <c r="AL215" s="185"/>
      <c r="AM215" s="185"/>
      <c r="AN215" s="185"/>
      <c r="AO215" s="185"/>
      <c r="AP215" s="185"/>
      <c r="AQ215" s="185"/>
    </row>
    <row r="216" spans="1:43" s="187" customFormat="1" x14ac:dyDescent="0.3">
      <c r="A216" s="185"/>
      <c r="B216" s="186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</row>
    <row r="217" spans="1:43" s="187" customFormat="1" x14ac:dyDescent="0.3">
      <c r="A217" s="185"/>
      <c r="B217" s="186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85"/>
      <c r="Z217" s="185"/>
      <c r="AA217" s="185"/>
      <c r="AB217" s="185"/>
      <c r="AC217" s="185"/>
      <c r="AD217" s="185"/>
      <c r="AE217" s="185"/>
      <c r="AF217" s="185"/>
      <c r="AG217" s="185"/>
      <c r="AH217" s="185"/>
      <c r="AI217" s="185"/>
      <c r="AJ217" s="185"/>
      <c r="AK217" s="185"/>
      <c r="AL217" s="185"/>
      <c r="AM217" s="185"/>
      <c r="AN217" s="185"/>
      <c r="AO217" s="185"/>
      <c r="AP217" s="185"/>
      <c r="AQ217" s="185"/>
    </row>
    <row r="218" spans="1:43" s="187" customFormat="1" x14ac:dyDescent="0.3">
      <c r="A218" s="185"/>
      <c r="B218" s="186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  <c r="AA218" s="185"/>
      <c r="AB218" s="185"/>
      <c r="AC218" s="185"/>
      <c r="AD218" s="185"/>
      <c r="AE218" s="185"/>
      <c r="AF218" s="185"/>
      <c r="AG218" s="185"/>
      <c r="AH218" s="185"/>
      <c r="AI218" s="185"/>
      <c r="AJ218" s="185"/>
      <c r="AK218" s="185"/>
      <c r="AL218" s="185"/>
      <c r="AM218" s="185"/>
      <c r="AN218" s="185"/>
      <c r="AO218" s="185"/>
      <c r="AP218" s="185"/>
      <c r="AQ218" s="185"/>
    </row>
    <row r="219" spans="1:43" s="187" customFormat="1" x14ac:dyDescent="0.3">
      <c r="A219" s="185"/>
      <c r="B219" s="186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5"/>
      <c r="AA219" s="185"/>
      <c r="AB219" s="185"/>
      <c r="AC219" s="185"/>
      <c r="AD219" s="185"/>
      <c r="AE219" s="185"/>
      <c r="AF219" s="185"/>
      <c r="AG219" s="185"/>
      <c r="AH219" s="185"/>
      <c r="AI219" s="185"/>
      <c r="AJ219" s="185"/>
      <c r="AK219" s="185"/>
      <c r="AL219" s="185"/>
      <c r="AM219" s="185"/>
      <c r="AN219" s="185"/>
      <c r="AO219" s="185"/>
      <c r="AP219" s="185"/>
      <c r="AQ219" s="185"/>
    </row>
    <row r="220" spans="1:43" s="187" customFormat="1" x14ac:dyDescent="0.3">
      <c r="A220" s="185"/>
      <c r="B220" s="186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  <c r="AA220" s="185"/>
      <c r="AB220" s="185"/>
      <c r="AC220" s="185"/>
      <c r="AD220" s="185"/>
      <c r="AE220" s="185"/>
      <c r="AF220" s="185"/>
      <c r="AG220" s="185"/>
      <c r="AH220" s="185"/>
      <c r="AI220" s="185"/>
      <c r="AJ220" s="185"/>
      <c r="AK220" s="185"/>
      <c r="AL220" s="185"/>
      <c r="AM220" s="185"/>
      <c r="AN220" s="185"/>
      <c r="AO220" s="185"/>
      <c r="AP220" s="185"/>
      <c r="AQ220" s="185"/>
    </row>
    <row r="221" spans="1:43" s="187" customFormat="1" x14ac:dyDescent="0.3">
      <c r="A221" s="185"/>
      <c r="B221" s="186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185"/>
      <c r="AL221" s="185"/>
      <c r="AM221" s="185"/>
      <c r="AN221" s="185"/>
      <c r="AO221" s="185"/>
      <c r="AP221" s="185"/>
      <c r="AQ221" s="185"/>
    </row>
    <row r="222" spans="1:43" s="187" customFormat="1" x14ac:dyDescent="0.3">
      <c r="A222" s="185"/>
      <c r="B222" s="186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  <c r="AA222" s="185"/>
      <c r="AB222" s="185"/>
      <c r="AC222" s="185"/>
      <c r="AD222" s="185"/>
      <c r="AE222" s="185"/>
      <c r="AF222" s="185"/>
      <c r="AG222" s="185"/>
      <c r="AH222" s="185"/>
      <c r="AI222" s="185"/>
      <c r="AJ222" s="185"/>
      <c r="AK222" s="185"/>
      <c r="AL222" s="185"/>
      <c r="AM222" s="185"/>
      <c r="AN222" s="185"/>
      <c r="AO222" s="185"/>
      <c r="AP222" s="185"/>
      <c r="AQ222" s="185"/>
    </row>
    <row r="223" spans="1:43" s="187" customFormat="1" x14ac:dyDescent="0.3">
      <c r="A223" s="185"/>
      <c r="B223" s="186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5"/>
      <c r="AL223" s="185"/>
      <c r="AM223" s="185"/>
      <c r="AN223" s="185"/>
      <c r="AO223" s="185"/>
      <c r="AP223" s="185"/>
      <c r="AQ223" s="185"/>
    </row>
    <row r="224" spans="1:43" s="187" customFormat="1" x14ac:dyDescent="0.3">
      <c r="A224" s="185"/>
      <c r="B224" s="186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5"/>
      <c r="AL224" s="185"/>
      <c r="AM224" s="185"/>
      <c r="AN224" s="185"/>
      <c r="AO224" s="185"/>
      <c r="AP224" s="185"/>
      <c r="AQ224" s="185"/>
    </row>
    <row r="225" spans="1:43" s="187" customFormat="1" x14ac:dyDescent="0.3">
      <c r="A225" s="185"/>
      <c r="B225" s="186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5"/>
      <c r="AL225" s="185"/>
      <c r="AM225" s="185"/>
      <c r="AN225" s="185"/>
      <c r="AO225" s="185"/>
      <c r="AP225" s="185"/>
      <c r="AQ225" s="185"/>
    </row>
    <row r="226" spans="1:43" s="187" customFormat="1" x14ac:dyDescent="0.3">
      <c r="A226" s="185"/>
      <c r="B226" s="186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5"/>
      <c r="AL226" s="185"/>
      <c r="AM226" s="185"/>
      <c r="AN226" s="185"/>
      <c r="AO226" s="185"/>
      <c r="AP226" s="185"/>
      <c r="AQ226" s="185"/>
    </row>
    <row r="227" spans="1:43" s="187" customFormat="1" x14ac:dyDescent="0.3">
      <c r="A227" s="185"/>
      <c r="B227" s="186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5"/>
      <c r="AL227" s="185"/>
      <c r="AM227" s="185"/>
      <c r="AN227" s="185"/>
      <c r="AO227" s="185"/>
      <c r="AP227" s="185"/>
      <c r="AQ227" s="185"/>
    </row>
    <row r="228" spans="1:43" s="187" customFormat="1" x14ac:dyDescent="0.3">
      <c r="A228" s="185"/>
      <c r="B228" s="186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5"/>
      <c r="AL228" s="185"/>
      <c r="AM228" s="185"/>
      <c r="AN228" s="185"/>
      <c r="AO228" s="185"/>
      <c r="AP228" s="185"/>
      <c r="AQ228" s="185"/>
    </row>
    <row r="229" spans="1:43" s="187" customFormat="1" x14ac:dyDescent="0.3">
      <c r="A229" s="185"/>
      <c r="B229" s="186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5"/>
      <c r="AL229" s="185"/>
      <c r="AM229" s="185"/>
      <c r="AN229" s="185"/>
      <c r="AO229" s="185"/>
      <c r="AP229" s="185"/>
      <c r="AQ229" s="185"/>
    </row>
    <row r="230" spans="1:43" s="187" customFormat="1" x14ac:dyDescent="0.3">
      <c r="A230" s="185"/>
      <c r="B230" s="186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</row>
    <row r="231" spans="1:43" s="187" customFormat="1" x14ac:dyDescent="0.3">
      <c r="A231" s="185"/>
      <c r="B231" s="186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5"/>
      <c r="AL231" s="185"/>
      <c r="AM231" s="185"/>
      <c r="AN231" s="185"/>
      <c r="AO231" s="185"/>
      <c r="AP231" s="185"/>
      <c r="AQ231" s="185"/>
    </row>
    <row r="232" spans="1:43" s="187" customFormat="1" x14ac:dyDescent="0.3">
      <c r="A232" s="185"/>
      <c r="B232" s="186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5"/>
      <c r="AB232" s="185"/>
      <c r="AC232" s="185"/>
      <c r="AD232" s="185"/>
      <c r="AE232" s="185"/>
      <c r="AF232" s="185"/>
      <c r="AG232" s="185"/>
      <c r="AH232" s="185"/>
      <c r="AI232" s="185"/>
      <c r="AJ232" s="185"/>
      <c r="AK232" s="185"/>
      <c r="AL232" s="185"/>
      <c r="AM232" s="185"/>
      <c r="AN232" s="185"/>
      <c r="AO232" s="185"/>
      <c r="AP232" s="185"/>
      <c r="AQ232" s="185"/>
    </row>
    <row r="233" spans="1:43" s="187" customFormat="1" x14ac:dyDescent="0.3">
      <c r="A233" s="185"/>
      <c r="B233" s="186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  <c r="AA233" s="185"/>
      <c r="AB233" s="185"/>
      <c r="AC233" s="185"/>
      <c r="AD233" s="185"/>
      <c r="AE233" s="185"/>
      <c r="AF233" s="185"/>
      <c r="AG233" s="185"/>
      <c r="AH233" s="185"/>
      <c r="AI233" s="185"/>
      <c r="AJ233" s="185"/>
      <c r="AK233" s="185"/>
      <c r="AL233" s="185"/>
      <c r="AM233" s="185"/>
      <c r="AN233" s="185"/>
      <c r="AO233" s="185"/>
      <c r="AP233" s="185"/>
      <c r="AQ233" s="185"/>
    </row>
    <row r="234" spans="1:43" s="187" customFormat="1" x14ac:dyDescent="0.3">
      <c r="A234" s="185"/>
      <c r="B234" s="186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  <c r="AA234" s="185"/>
      <c r="AB234" s="185"/>
      <c r="AC234" s="185"/>
      <c r="AD234" s="185"/>
      <c r="AE234" s="185"/>
      <c r="AF234" s="185"/>
      <c r="AG234" s="185"/>
      <c r="AH234" s="185"/>
      <c r="AI234" s="185"/>
      <c r="AJ234" s="185"/>
      <c r="AK234" s="185"/>
      <c r="AL234" s="185"/>
      <c r="AM234" s="185"/>
      <c r="AN234" s="185"/>
      <c r="AO234" s="185"/>
      <c r="AP234" s="185"/>
      <c r="AQ234" s="185"/>
    </row>
    <row r="235" spans="1:43" s="187" customFormat="1" x14ac:dyDescent="0.3">
      <c r="A235" s="185"/>
      <c r="B235" s="186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  <c r="AA235" s="185"/>
      <c r="AB235" s="185"/>
      <c r="AC235" s="185"/>
      <c r="AD235" s="185"/>
      <c r="AE235" s="185"/>
      <c r="AF235" s="185"/>
      <c r="AG235" s="185"/>
      <c r="AH235" s="185"/>
      <c r="AI235" s="185"/>
      <c r="AJ235" s="185"/>
      <c r="AK235" s="185"/>
      <c r="AL235" s="185"/>
      <c r="AM235" s="185"/>
      <c r="AN235" s="185"/>
      <c r="AO235" s="185"/>
      <c r="AP235" s="185"/>
      <c r="AQ235" s="185"/>
    </row>
    <row r="236" spans="1:43" s="187" customFormat="1" x14ac:dyDescent="0.3">
      <c r="A236" s="185"/>
      <c r="B236" s="186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85"/>
      <c r="AB236" s="185"/>
      <c r="AC236" s="185"/>
      <c r="AD236" s="185"/>
      <c r="AE236" s="185"/>
      <c r="AF236" s="185"/>
      <c r="AG236" s="185"/>
      <c r="AH236" s="185"/>
      <c r="AI236" s="185"/>
      <c r="AJ236" s="185"/>
      <c r="AK236" s="185"/>
      <c r="AL236" s="185"/>
      <c r="AM236" s="185"/>
      <c r="AN236" s="185"/>
      <c r="AO236" s="185"/>
      <c r="AP236" s="185"/>
      <c r="AQ236" s="185"/>
    </row>
    <row r="237" spans="1:43" s="187" customFormat="1" x14ac:dyDescent="0.3">
      <c r="A237" s="185"/>
      <c r="B237" s="186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  <c r="AA237" s="185"/>
      <c r="AB237" s="185"/>
      <c r="AC237" s="185"/>
      <c r="AD237" s="185"/>
      <c r="AE237" s="185"/>
      <c r="AF237" s="185"/>
      <c r="AG237" s="185"/>
      <c r="AH237" s="185"/>
      <c r="AI237" s="185"/>
      <c r="AJ237" s="185"/>
      <c r="AK237" s="185"/>
      <c r="AL237" s="185"/>
      <c r="AM237" s="185"/>
      <c r="AN237" s="185"/>
      <c r="AO237" s="185"/>
      <c r="AP237" s="185"/>
      <c r="AQ237" s="185"/>
    </row>
    <row r="238" spans="1:43" s="187" customFormat="1" x14ac:dyDescent="0.3">
      <c r="A238" s="185"/>
      <c r="B238" s="186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  <c r="AA238" s="185"/>
      <c r="AB238" s="185"/>
      <c r="AC238" s="185"/>
      <c r="AD238" s="185"/>
      <c r="AE238" s="185"/>
      <c r="AF238" s="185"/>
      <c r="AG238" s="185"/>
      <c r="AH238" s="185"/>
      <c r="AI238" s="185"/>
      <c r="AJ238" s="185"/>
      <c r="AK238" s="185"/>
      <c r="AL238" s="185"/>
      <c r="AM238" s="185"/>
      <c r="AN238" s="185"/>
      <c r="AO238" s="185"/>
      <c r="AP238" s="185"/>
      <c r="AQ238" s="185"/>
    </row>
    <row r="239" spans="1:43" s="187" customFormat="1" x14ac:dyDescent="0.3">
      <c r="A239" s="185"/>
      <c r="B239" s="186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  <c r="AA239" s="185"/>
      <c r="AB239" s="185"/>
      <c r="AC239" s="185"/>
      <c r="AD239" s="185"/>
      <c r="AE239" s="185"/>
      <c r="AF239" s="185"/>
      <c r="AG239" s="185"/>
      <c r="AH239" s="185"/>
      <c r="AI239" s="185"/>
      <c r="AJ239" s="185"/>
      <c r="AK239" s="185"/>
      <c r="AL239" s="185"/>
      <c r="AM239" s="185"/>
      <c r="AN239" s="185"/>
      <c r="AO239" s="185"/>
      <c r="AP239" s="185"/>
      <c r="AQ239" s="185"/>
    </row>
  </sheetData>
  <sheetProtection algorithmName="SHA-512" hashValue="u2FeJQ1g4/0ZK83oHslouy22pcGa681wkrP2biJaaXupxRbNCuWAvMjH1C3rzPnj/SfyVXwtbKt62t7UUQ+2xw==" saltValue="LGO9DCoZIu8CSB6VXaswgg==" spinCount="100000" sheet="1" objects="1" scenarios="1"/>
  <mergeCells count="38">
    <mergeCell ref="C1:L1"/>
    <mergeCell ref="B2:E2"/>
    <mergeCell ref="K2:L2"/>
    <mergeCell ref="G2:H2"/>
    <mergeCell ref="C9:D9"/>
    <mergeCell ref="C7:D7"/>
    <mergeCell ref="A5:B5"/>
    <mergeCell ref="F64:G64"/>
    <mergeCell ref="V13:X13"/>
    <mergeCell ref="A24:B24"/>
    <mergeCell ref="A40:B40"/>
    <mergeCell ref="A36:A37"/>
    <mergeCell ref="B36:L37"/>
    <mergeCell ref="B15:D15"/>
    <mergeCell ref="K25:L26"/>
    <mergeCell ref="V14:X14"/>
    <mergeCell ref="J55:K55"/>
    <mergeCell ref="F56:G56"/>
    <mergeCell ref="F58:G58"/>
    <mergeCell ref="F60:G60"/>
    <mergeCell ref="F62:G62"/>
    <mergeCell ref="J10:K10"/>
    <mergeCell ref="J11:K11"/>
    <mergeCell ref="B12:D12"/>
    <mergeCell ref="B14:D14"/>
    <mergeCell ref="B13:D13"/>
    <mergeCell ref="C10:D10"/>
    <mergeCell ref="H69:I69"/>
    <mergeCell ref="E70:F70"/>
    <mergeCell ref="A88:B88"/>
    <mergeCell ref="B89:D89"/>
    <mergeCell ref="E89:G89"/>
    <mergeCell ref="H89:J89"/>
    <mergeCell ref="F66:G66"/>
    <mergeCell ref="D96:F96"/>
    <mergeCell ref="B96:C96"/>
    <mergeCell ref="D97:F97"/>
    <mergeCell ref="B97:C97"/>
  </mergeCells>
  <phoneticPr fontId="29" type="noConversion"/>
  <conditionalFormatting sqref="B56 B58 B60 B62 B64 B66">
    <cfRule type="containsText" dxfId="21" priority="35" operator="containsText" text="S/O (droits int.)">
      <formula>NOT(ISERROR(SEARCH("S/O (droits int.)",B56)))</formula>
    </cfRule>
    <cfRule type="containsText" dxfId="20" priority="36" operator="containsText" text="S/O (dist. apparenté au requéant)">
      <formula>NOT(ISERROR(SEARCH("S/O (dist. apparenté au requéant)",B56)))</formula>
    </cfRule>
    <cfRule type="containsText" dxfId="19" priority="37" operator="containsText" text="Information manquante">
      <formula>NOT(ISERROR(SEARCH("Information manquante",B56)))</formula>
    </cfRule>
  </conditionalFormatting>
  <conditionalFormatting sqref="B12:D13">
    <cfRule type="expression" dxfId="18" priority="59">
      <formula>#REF!&lt;&gt;"Oui"</formula>
    </cfRule>
  </conditionalFormatting>
  <conditionalFormatting sqref="C92">
    <cfRule type="containsText" dxfId="17" priority="3" stopIfTrue="1" operator="containsText" text="Non">
      <formula>NOT(ISERROR(SEARCH("Non",C92)))</formula>
    </cfRule>
  </conditionalFormatting>
  <conditionalFormatting sqref="C94">
    <cfRule type="containsText" dxfId="16" priority="2" stopIfTrue="1" operator="containsText" text="Non">
      <formula>NOT(ISERROR(SEARCH("Non",C94)))</formula>
    </cfRule>
  </conditionalFormatting>
  <conditionalFormatting sqref="D69:G69">
    <cfRule type="containsText" dxfId="15" priority="38" operator="containsText" text="(4) The indicated Market Contribution exceeds the Maximal Market Contribution.">
      <formula>NOT(ISERROR(SEARCH("(4) The indicated Market Contribution exceeds the Maximal Market Contribution.",D69)))</formula>
    </cfRule>
  </conditionalFormatting>
  <conditionalFormatting sqref="E13:E14">
    <cfRule type="containsText" dxfId="14" priority="69" operator="containsText" text="Non">
      <formula>NOT(ISERROR(SEARCH("Non",E13)))</formula>
    </cfRule>
  </conditionalFormatting>
  <conditionalFormatting sqref="E72:F74">
    <cfRule type="containsText" dxfId="13" priority="24" operator="containsText" text="Non">
      <formula>NOT(ISERROR(SEARCH("Non",E72)))</formula>
    </cfRule>
  </conditionalFormatting>
  <conditionalFormatting sqref="E76:F78">
    <cfRule type="containsText" dxfId="12" priority="5" operator="containsText" text="Non">
      <formula>NOT(ISERROR(SEARCH("Non",E76)))</formula>
    </cfRule>
  </conditionalFormatting>
  <conditionalFormatting sqref="E80:F80">
    <cfRule type="containsText" dxfId="11" priority="27" operator="containsText" text="Non">
      <formula>NOT(ISERROR(SEARCH("Non",E80)))</formula>
    </cfRule>
  </conditionalFormatting>
  <conditionalFormatting sqref="E82:F84">
    <cfRule type="containsText" dxfId="10" priority="13" operator="containsText" text="Non">
      <formula>NOT(ISERROR(SEARCH("Non",E82)))</formula>
    </cfRule>
  </conditionalFormatting>
  <conditionalFormatting sqref="E86:F86">
    <cfRule type="containsText" dxfId="9" priority="12" operator="containsText" text="Non">
      <formula>NOT(ISERROR(SEARCH("Non",E86)))</formula>
    </cfRule>
  </conditionalFormatting>
  <conditionalFormatting sqref="F92 I92">
    <cfRule type="containsText" dxfId="8" priority="70" stopIfTrue="1" operator="containsText" text="Non">
      <formula>NOT(ISERROR(SEARCH("Non",F92)))</formula>
    </cfRule>
  </conditionalFormatting>
  <conditionalFormatting sqref="F94">
    <cfRule type="containsText" dxfId="7" priority="4" stopIfTrue="1" operator="containsText" text="Non">
      <formula>NOT(ISERROR(SEARCH("Non",F94)))</formula>
    </cfRule>
  </conditionalFormatting>
  <conditionalFormatting sqref="F27:G32">
    <cfRule type="expression" dxfId="6" priority="40">
      <formula>$X27=1</formula>
    </cfRule>
  </conditionalFormatting>
  <conditionalFormatting sqref="H49:K50">
    <cfRule type="expression" dxfId="5" priority="73">
      <formula>$K$49&lt;&gt;""</formula>
    </cfRule>
  </conditionalFormatting>
  <conditionalFormatting sqref="I56 I58 I60 I62 I64 I66">
    <cfRule type="expression" dxfId="4" priority="34">
      <formula>$I55&lt;$B55</formula>
    </cfRule>
  </conditionalFormatting>
  <conditionalFormatting sqref="I94">
    <cfRule type="containsText" dxfId="3" priority="65" stopIfTrue="1" operator="containsText" text="Non">
      <formula>NOT(ISERROR(SEARCH("Non",I94)))</formula>
    </cfRule>
  </conditionalFormatting>
  <conditionalFormatting sqref="J69:L69">
    <cfRule type="containsText" dxfId="2" priority="144" operator="containsText" text="(4) The indicated Market Contribution exceeds the Maximal Market Contribution.">
      <formula>NOT(ISERROR(SEARCH("(4) The indicated Market Contribution exceeds the Maximal Market Contribution.",J69)))</formula>
    </cfRule>
  </conditionalFormatting>
  <conditionalFormatting sqref="K27:L32">
    <cfRule type="expression" dxfId="1" priority="39">
      <formula>$D27&gt;0</formula>
    </cfRule>
  </conditionalFormatting>
  <conditionalFormatting sqref="Y13">
    <cfRule type="containsText" dxfId="0" priority="41" operator="containsText" text="Non">
      <formula>NOT(ISERROR(SEARCH("Non",Y13)))</formula>
    </cfRule>
  </conditionalFormatting>
  <dataValidations count="13">
    <dataValidation type="whole" allowBlank="1" showInputMessage="1" showErrorMessage="1" promptTitle="Nombre de mois" prompt="Saisir la période en mois. Les équations sont permises (ex. : =7*12)" sqref="J27:J32" xr:uid="{18A8CB7F-3B58-4EDF-9699-55D3553358B8}">
      <formula1>1</formula1>
      <formula2>999</formula2>
    </dataValidation>
    <dataValidation type="date" allowBlank="1" showInputMessage="1" showErrorMessage="1" promptTitle="Date" prompt="ex. A-M-J" sqref="H27:H32" xr:uid="{AC64E963-407A-4F67-9226-17E0F065BD50}">
      <formula1>36526</formula1>
      <formula2>401749</formula2>
    </dataValidation>
    <dataValidation type="whole" allowBlank="1" showInputMessage="1" showErrorMessage="1" errorTitle="Not a number" error="Enter the Envelope Contribution for this licence" sqref="E48" xr:uid="{159B71F8-853C-464C-A770-FB1038F2C566}">
      <formula1>0</formula1>
      <formula2>999999999999999</formula2>
    </dataValidation>
    <dataValidation type="decimal" allowBlank="1" showInputMessage="1" showErrorMessage="1" errorTitle="Not a number" error="Enter the Envelope Contribution for this licence" sqref="C27:C32 G28 E27:E28 E30 D27:D30" xr:uid="{7317342B-A281-45CE-B046-90903FEE0ABD}">
      <formula1>0</formula1>
      <formula2>999999999999999</formula2>
    </dataValidation>
    <dataValidation allowBlank="1" showInputMessage="1" showErrorMessage="1" promptTitle="Entité Int. (CMM)" prompt="Pour E&amp;J : les DDA + la CMM doivent être au moins 75% de l’exigence seuil. Voir aussi la note (3)." sqref="K49" xr:uid="{6E30DC54-643E-4441-A2EF-13345F57A142}"/>
    <dataValidation type="custom" showInputMessage="1" showErrorMessage="1" error="SVP ne pas supprimer" sqref="A70 K70" xr:uid="{414FDF6E-A0D3-4012-B43B-7A33A3AEAA5E}">
      <formula1>""</formula1>
    </dataValidation>
    <dataValidation type="decimal" allowBlank="1" showInputMessage="1" showErrorMessage="1" errorTitle="Not a number" error="Enter the Envelope Contribution for this licence" prompt="SVP entrez les télédiffuseurs et distributeurs en premier. Voir note (1) ci-dessus" sqref="F27:G27" xr:uid="{DA88B4C2-EF15-489B-BCCF-30AC33A087FB}">
      <formula1>0</formula1>
      <formula2>999999999999999</formula2>
    </dataValidation>
    <dataValidation type="decimal" allowBlank="1" showErrorMessage="1" errorTitle="Not a number" error="Enter the Envelope Contribution for this licence" sqref="E29" xr:uid="{A03A4C86-4524-484D-97AE-BF9858DA334B}">
      <formula1>0</formula1>
      <formula2>999999999999999</formula2>
    </dataValidation>
    <dataValidation type="list" allowBlank="1" showInputMessage="1" showErrorMessage="1" sqref="K27:K32" xr:uid="{E6CF4B58-8002-4FDF-9272-8501A754071F}">
      <formula1>$J$70:$J$72</formula1>
    </dataValidation>
    <dataValidation type="list" allowBlank="1" showInputMessage="1" showErrorMessage="1" sqref="L27:L32" xr:uid="{D789964C-D5E1-403B-B379-E675671A2A93}">
      <formula1>$K$70:$K$72</formula1>
    </dataValidation>
    <dataValidation type="list" allowBlank="1" showInputMessage="1" showErrorMessage="1" sqref="Y13 E10" xr:uid="{FCE97536-3069-4B26-8415-2DBD6F8A6CE8}">
      <formula1>$K$71:$K$82</formula1>
    </dataValidation>
    <dataValidation allowBlank="1" showInputMessage="1" showErrorMessage="1" promptTitle="Entité Int. (EFA)" prompt="Pour E&amp;J et doc. : les DDA et l’ADA doivent être 75% de l’exigence seuil au minimum. Voir aussi la note (2)" sqref="I52" xr:uid="{FE6DC01C-7073-4B01-ACFA-44E5255EBA57}"/>
    <dataValidation type="list" allowBlank="1" showInputMessage="1" showErrorMessage="1" sqref="E9" xr:uid="{571CEDFC-854F-456C-ABB0-BB512F13015C}">
      <formula1>$K$71:$K$73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70" fitToHeight="3" orientation="landscape" r:id="rId1"/>
  <headerFooter alignWithMargins="0"/>
  <rowBreaks count="2" manualBreakCount="2">
    <brk id="38" max="10" man="1"/>
    <brk id="67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Drop Down 5">
              <controlPr locked="0" defaultSize="0" autoLine="0" autoPict="0">
                <anchor moveWithCells="1">
                  <from>
                    <xdr:col>2</xdr:col>
                    <xdr:colOff>22860</xdr:colOff>
                    <xdr:row>3</xdr:row>
                    <xdr:rowOff>266700</xdr:rowOff>
                  </from>
                  <to>
                    <xdr:col>5</xdr:col>
                    <xdr:colOff>655320</xdr:colOff>
                    <xdr:row>5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leDoc" ma:contentTypeID="0x0101007C0EA845696D1948BDEEFC7B350361630100B08C5A147E46AA43866F3438FE350128" ma:contentTypeVersion="24" ma:contentTypeDescription="Create a new document." ma:contentTypeScope="" ma:versionID="6ca86c7dae4457b17678b8e15d2098ec">
  <xsd:schema xmlns:xsd="http://www.w3.org/2001/XMLSchema" xmlns:xs="http://www.w3.org/2001/XMLSchema" xmlns:p="http://schemas.microsoft.com/office/2006/metadata/properties" xmlns:ns2="ecb119d4-d563-4bdc-ad82-2d690c88c5f7" xmlns:ns3="484c8c59-755d-4516-b8d2-1621b38262b4" xmlns:ns4="e27b0c4a-e52c-4a9d-a1f2-444a905929e2" xmlns:ns5="94ffc4b0-5353-4349-8cc3-8e471de1b72c" xmlns:ns6="7b2bf855-4b99-4523-8a28-c0526f8a6830" xmlns:ns7="http://schemas.microsoft.com/sharepoint/v4" targetNamespace="http://schemas.microsoft.com/office/2006/metadata/properties" ma:root="true" ma:fieldsID="aaf583547a123ee3e250b492c8cf3e39" ns2:_="" ns3:_="" ns4:_="" ns5:_="" ns6:_="" ns7:_="">
    <xsd:import namespace="ecb119d4-d563-4bdc-ad82-2d690c88c5f7"/>
    <xsd:import namespace="484c8c59-755d-4516-b8d2-1621b38262b4"/>
    <xsd:import namespace="e27b0c4a-e52c-4a9d-a1f2-444a905929e2"/>
    <xsd:import namespace="94ffc4b0-5353-4349-8cc3-8e471de1b72c"/>
    <xsd:import namespace="7b2bf855-4b99-4523-8a28-c0526f8a683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1c276be9cfa481895358bbd606e8e03" minOccurs="0"/>
                <xsd:element ref="ns3:TaxCatchAll" minOccurs="0"/>
                <xsd:element ref="ns3:TaxCatchAllLabel" minOccurs="0"/>
                <xsd:element ref="ns2:j5f5c22b761e4082b8e8a133044a7d58" minOccurs="0"/>
                <xsd:element ref="ns5:TfRevision" minOccurs="0"/>
                <xsd:element ref="ns5:TfPeriod" minOccurs="0"/>
                <xsd:element ref="ns2:f5f81750012343d1806eba8e7b10aae7" minOccurs="0"/>
                <xsd:element ref="ns2:f2915d3f92ea4bb79247451729792765" minOccurs="0"/>
                <xsd:element ref="ns5:TfSourcePath" minOccurs="0"/>
                <xsd:element ref="ns6:MediaServiceMetadata" minOccurs="0"/>
                <xsd:element ref="ns6:MediaServiceFastMetadata" minOccurs="0"/>
                <xsd:element ref="ns4:SharedWithUsers" minOccurs="0"/>
                <xsd:element ref="ns4:SharedWithDetails" minOccurs="0"/>
                <xsd:element ref="ns6:MediaServiceAutoKeyPoints" minOccurs="0"/>
                <xsd:element ref="ns6:MediaServiceDateTaken" minOccurs="0"/>
                <xsd:element ref="ns6:MediaLengthInSecond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7:IconOverlay" minOccurs="0"/>
                <xsd:element ref="ns4:_dlc_DocId" minOccurs="0"/>
                <xsd:element ref="ns4:_dlc_DocIdUrl" minOccurs="0"/>
                <xsd:element ref="ns4:_dlc_DocIdPersistId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119d4-d563-4bdc-ad82-2d690c88c5f7" elementFormDefault="qualified">
    <xsd:import namespace="http://schemas.microsoft.com/office/2006/documentManagement/types"/>
    <xsd:import namespace="http://schemas.microsoft.com/office/infopath/2007/PartnerControls"/>
    <xsd:element name="c1c276be9cfa481895358bbd606e8e03" ma:index="8" nillable="true" ma:taxonomy="true" ma:internalName="c1c276be9cfa481895358bbd606e8e03" ma:taxonomyFieldName="TfBusinessProcess" ma:displayName="Business Process" ma:default="" ma:fieldId="{c1c276be-9cfa-4818-9535-8bbd606e8e03}" ma:sspId="7f0aa716-bba0-4bb8-a561-918f9f9bf113" ma:termSetId="ed0ad9fd-18c4-4ad5-951f-e822bc0acb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f5c22b761e4082b8e8a133044a7d58" ma:index="12" nillable="true" ma:taxonomy="true" ma:internalName="j5f5c22b761e4082b8e8a133044a7d58" ma:taxonomyFieldName="TfClassification" ma:displayName="Classification" ma:default="" ma:fieldId="{35f5c22b-761e-4082-b8e8-a133044a7d58}" ma:sspId="7f0aa716-bba0-4bb8-a561-918f9f9bf113" ma:termSetId="2113eb4f-eb0a-42e0-91a3-4320612ce358" ma:anchorId="4488faba-ddb0-4a07-bab3-5b07a01bbda2" ma:open="false" ma:isKeyword="false">
      <xsd:complexType>
        <xsd:sequence>
          <xsd:element ref="pc:Terms" minOccurs="0" maxOccurs="1"/>
        </xsd:sequence>
      </xsd:complexType>
    </xsd:element>
    <xsd:element name="f5f81750012343d1806eba8e7b10aae7" ma:index="16" nillable="true" ma:taxonomy="true" ma:internalName="f5f81750012343d1806eba8e7b10aae7" ma:taxonomyFieldName="TfDocType" ma:displayName="Document Type" ma:default="" ma:fieldId="{f5f81750-0123-43d1-806e-ba8e7b10aae7}" ma:sspId="7f0aa716-bba0-4bb8-a561-918f9f9bf113" ma:termSetId="516db3bc-1f56-4005-9466-6bd52177fb3d" ma:anchorId="4488faba-ddb0-4a07-bab3-5b07a01bbda2" ma:open="false" ma:isKeyword="false">
      <xsd:complexType>
        <xsd:sequence>
          <xsd:element ref="pc:Terms" minOccurs="0" maxOccurs="1"/>
        </xsd:sequence>
      </xsd:complexType>
    </xsd:element>
    <xsd:element name="f2915d3f92ea4bb79247451729792765" ma:index="18" nillable="true" ma:taxonomy="true" ma:internalName="f2915d3f92ea4bb79247451729792765" ma:taxonomyFieldName="TfProject" ma:displayName="Project" ma:default="" ma:fieldId="{f2915d3f-92ea-4bb7-9247-451729792765}" ma:sspId="7f0aa716-bba0-4bb8-a561-918f9f9bf113" ma:termSetId="496cdf85-4955-4878-95d4-a5a02def46d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8d0a488d-ccec-4866-9823-061a664d4d51}" ma:internalName="TaxCatchAll" ma:showField="CatchAllData" ma:web="e27b0c4a-e52c-4a9d-a1f2-444a90592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d0a488d-ccec-4866-9823-061a664d4d51}" ma:internalName="TaxCatchAllLabel" ma:readOnly="true" ma:showField="CatchAllDataLabel" ma:web="e27b0c4a-e52c-4a9d-a1f2-444a90592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0c4a-e52c-4a9d-a1f2-444a905929e2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32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3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fc4b0-5353-4349-8cc3-8e471de1b72c" elementFormDefault="qualified">
    <xsd:import namespace="http://schemas.microsoft.com/office/2006/documentManagement/types"/>
    <xsd:import namespace="http://schemas.microsoft.com/office/infopath/2007/PartnerControls"/>
    <xsd:element name="TfRevision" ma:index="14" nillable="true" ma:displayName="Document Revision" ma:internalName="TfRevision" ma:readOnly="false" ma:percentage="FALSE">
      <xsd:simpleType>
        <xsd:restriction base="dms:Number"/>
      </xsd:simpleType>
    </xsd:element>
    <xsd:element name="TfPeriod" ma:index="15" nillable="true" ma:displayName="Period" ma:format="DateOnly" ma:internalName="TfPeriod" ma:readOnly="false">
      <xsd:simpleType>
        <xsd:restriction base="dms:DateTime"/>
      </xsd:simpleType>
    </xsd:element>
    <xsd:element name="TfSourcePath" ma:index="20" nillable="true" ma:displayName="Source Path" ma:internalName="TfSourcePath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bf855-4b99-4523-8a28-c0526f8a6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bf855-4b99-4523-8a28-c0526f8a6830">
      <Terms xmlns="http://schemas.microsoft.com/office/infopath/2007/PartnerControls"/>
    </lcf76f155ced4ddcb4097134ff3c332f>
    <TaxCatchAll xmlns="484c8c59-755d-4516-b8d2-1621b38262b4">
      <Value>16</Value>
      <Value>12</Value>
    </TaxCatchAll>
    <_dlc_DocId xmlns="e27b0c4a-e52c-4a9d-a1f2-444a905929e2">CMFPA-1271669082-30935</_dlc_DocId>
    <_dlc_DocIdUrl xmlns="e27b0c4a-e52c-4a9d-a1f2-444a905929e2">
      <Url>https://telefilm.sharepoint.com/sites/T_APFMC-CMFPA/_layouts/15/DocIdRedir.aspx?ID=CMFPA-1271669082-30935</Url>
      <Description>CMFPA-1271669082-30935</Description>
    </_dlc_DocIdUrl>
    <TfSourcePath xmlns="94ffc4b0-5353-4349-8cc3-8e471de1b72c" xsi:nil="true"/>
    <IconOverlay xmlns="http://schemas.microsoft.com/sharepoint/v4" xsi:nil="true"/>
    <c1c276be9cfa481895358bbd606e8e03 xmlns="ecb119d4-d563-4bdc-ad82-2d690c88c5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APFMC</TermName>
          <TermId xmlns="http://schemas.microsoft.com/office/infopath/2007/PartnerControls">5e323734-3c20-4f43-979b-7ae025a18a69</TermId>
        </TermInfo>
      </Terms>
    </c1c276be9cfa481895358bbd606e8e03>
    <TfRevision xmlns="94ffc4b0-5353-4349-8cc3-8e471de1b72c" xsi:nil="true"/>
    <f5f81750012343d1806eba8e7b10aae7 xmlns="ecb119d4-d563-4bdc-ad82-2d690c88c5f7">
      <Terms xmlns="http://schemas.microsoft.com/office/infopath/2007/PartnerControls"/>
    </f5f81750012343d1806eba8e7b10aae7>
    <f2915d3f92ea4bb79247451729792765 xmlns="ecb119d4-d563-4bdc-ad82-2d690c88c5f7">
      <Terms xmlns="http://schemas.microsoft.com/office/infopath/2007/PartnerControls"/>
    </f2915d3f92ea4bb79247451729792765>
    <j5f5c22b761e4082b8e8a133044a7d58 xmlns="ecb119d4-d563-4bdc-ad82-2d690c88c5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and Contracting</TermName>
          <TermId xmlns="http://schemas.microsoft.com/office/infopath/2007/PartnerControls">f8978233-d840-4582-836a-26dd0dc426dc</TermId>
        </TermInfo>
      </Terms>
    </j5f5c22b761e4082b8e8a133044a7d58>
    <TfPeriod xmlns="94ffc4b0-5353-4349-8cc3-8e471de1b72c" xsi:nil="true"/>
  </documentManagement>
</p:properties>
</file>

<file path=customXml/itemProps1.xml><?xml version="1.0" encoding="utf-8"?>
<ds:datastoreItem xmlns:ds="http://schemas.openxmlformats.org/officeDocument/2006/customXml" ds:itemID="{E75C3807-BA35-4B6B-BBAE-734FE68C8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4762DE-A70A-42DF-83B1-A5F35D847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119d4-d563-4bdc-ad82-2d690c88c5f7"/>
    <ds:schemaRef ds:uri="484c8c59-755d-4516-b8d2-1621b38262b4"/>
    <ds:schemaRef ds:uri="e27b0c4a-e52c-4a9d-a1f2-444a905929e2"/>
    <ds:schemaRef ds:uri="94ffc4b0-5353-4349-8cc3-8e471de1b72c"/>
    <ds:schemaRef ds:uri="7b2bf855-4b99-4523-8a28-c0526f8a683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5257D9-21A7-4579-AE3E-2027C57BC59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8758206-B560-42EC-A4CC-D7E95417425A}">
  <ds:schemaRefs>
    <ds:schemaRef ds:uri="ecb119d4-d563-4bdc-ad82-2d690c88c5f7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94ffc4b0-5353-4349-8cc3-8e471de1b72c"/>
    <ds:schemaRef ds:uri="http://purl.org/dc/terms/"/>
    <ds:schemaRef ds:uri="http://schemas.microsoft.com/office/infopath/2007/PartnerControls"/>
    <ds:schemaRef ds:uri="http://purl.org/dc/dcmitype/"/>
    <ds:schemaRef ds:uri="http://schemas.microsoft.com/sharepoint/v4"/>
    <ds:schemaRef ds:uri="7b2bf855-4b99-4523-8a28-c0526f8a6830"/>
    <ds:schemaRef ds:uri="e27b0c4a-e52c-4a9d-a1f2-444a905929e2"/>
    <ds:schemaRef ds:uri="484c8c59-755d-4516-b8d2-1621b38262b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ENGLISH</vt:lpstr>
      <vt:lpstr>FRANÇAIS</vt:lpstr>
      <vt:lpstr>ENGLISH!Zone_d_impression</vt:lpstr>
      <vt:lpstr>FRANÇAIS!Zone_d_impression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2012-05-02T16:23:31Z</dcterms:created>
  <dcterms:modified xsi:type="dcterms:W3CDTF">2026-06-04T14:17:39Z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0x0101007C0EA845696D1948BDEEFC7B350361630100B08C5A147E46AA43866F3438FE350128</vt:lpwstr>
  </property>
  <property fmtid="{D5CDD505-2E9C-101B-9397-08002B2CF9AE}" pid="3" name="_dlc_DocIdItemGuid">
    <vt:lpwstr>39aae735-5e9d-455b-a8b9-04f4c1ad8471</vt:lpwstr>
  </property>
  <property fmtid="{D5CDD505-2E9C-101B-9397-08002B2CF9AE}" pid="4" name="MediaServiceImageTags">
    <vt:lpwstr/>
  </property>
  <property fmtid="{D5CDD505-2E9C-101B-9397-08002B2CF9AE}" pid="5" name="TfBusinessProcess">
    <vt:lpwstr>12;#APFMC|5e323734-3c20-4f43-979b-7ae025a18a69</vt:lpwstr>
  </property>
  <property fmtid="{D5CDD505-2E9C-101B-9397-08002B2CF9AE}" pid="6" name="TfClassification">
    <vt:lpwstr>16;#Analysis and Contracting|f8978233-d840-4582-836a-26dd0dc426dc</vt:lpwstr>
  </property>
  <property fmtid="{D5CDD505-2E9C-101B-9397-08002B2CF9AE}" pid="7" name="TfDocType">
    <vt:lpwstr/>
  </property>
  <property fmtid="{D5CDD505-2E9C-101B-9397-08002B2CF9AE}" pid="8" name="TfProject">
    <vt:lpwstr/>
  </property>
</Properties>
</file>