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61" documentId="13_ncr:1_{114DBA04-2936-4EEF-A81D-8325D740184F}" xr6:coauthVersionLast="47" xr6:coauthVersionMax="47" xr10:uidLastSave="{2ADAC2A1-4B9E-44E6-8F9F-5B4968DA70C1}"/>
  <bookViews>
    <workbookView xWindow="28680" yWindow="-120" windowWidth="29040" windowHeight="15840" xr2:uid="{00000000-000D-0000-FFFF-FFFF00000000}"/>
  </bookViews>
  <sheets>
    <sheet name="AMI" sheetId="1" r:id="rId1"/>
    <sheet name="PLFMM" sheetId="4" r:id="rId2"/>
  </sheets>
  <definedNames>
    <definedName name="_xlnm.Print_Area" localSheetId="0">AMI!$A$1:$O$83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4" l="1"/>
  <c r="I94" i="4"/>
  <c r="E18" i="4" l="1"/>
  <c r="G20" i="4" l="1"/>
  <c r="F96" i="4" l="1"/>
  <c r="G96" i="4" s="1"/>
  <c r="L96" i="4" l="1"/>
  <c r="D98" i="4"/>
  <c r="E98" i="4" s="1"/>
  <c r="D34" i="4"/>
  <c r="B85" i="1"/>
  <c r="L98" i="4" l="1"/>
  <c r="M98" i="4" s="1"/>
  <c r="N98" i="4" s="1"/>
  <c r="C98" i="4"/>
  <c r="M96" i="4"/>
  <c r="N96" i="4" s="1"/>
  <c r="L94" i="4"/>
  <c r="E50" i="4" s="1"/>
  <c r="B101" i="4"/>
  <c r="L93" i="4"/>
  <c r="C50" i="4"/>
  <c r="M94" i="4" l="1"/>
  <c r="N94" i="4" s="1"/>
  <c r="C27" i="4"/>
  <c r="C34" i="4" s="1"/>
  <c r="E20" i="4" s="1"/>
  <c r="F20" i="4" s="1"/>
  <c r="D87" i="4"/>
  <c r="E87" i="4" s="1"/>
  <c r="D86" i="4"/>
  <c r="E86" i="4" s="1"/>
  <c r="D85" i="4"/>
  <c r="E85" i="4" s="1"/>
  <c r="D84" i="4"/>
  <c r="D82" i="4"/>
  <c r="E82" i="4" s="1"/>
  <c r="D81" i="4"/>
  <c r="E81" i="4" s="1"/>
  <c r="D80" i="4"/>
  <c r="E80" i="4" s="1"/>
  <c r="D78" i="4"/>
  <c r="E78" i="4" s="1"/>
  <c r="D77" i="4"/>
  <c r="E77" i="4" s="1"/>
  <c r="D76" i="4"/>
  <c r="E76" i="4" s="1"/>
  <c r="D75" i="4"/>
  <c r="E75" i="4" s="1"/>
  <c r="D73" i="4"/>
  <c r="E73" i="4" s="1"/>
  <c r="G73" i="4" s="1"/>
  <c r="D72" i="4"/>
  <c r="E72" i="4" s="1"/>
  <c r="D71" i="4"/>
  <c r="E71" i="4" s="1"/>
  <c r="D70" i="4"/>
  <c r="F34" i="4"/>
  <c r="E34" i="4"/>
  <c r="K12" i="4"/>
  <c r="L12" i="4" s="1"/>
  <c r="I20" i="4" l="1"/>
  <c r="H20" i="4"/>
  <c r="H81" i="4"/>
  <c r="G81" i="4"/>
  <c r="H82" i="4"/>
  <c r="G82" i="4"/>
  <c r="I72" i="4"/>
  <c r="H72" i="4"/>
  <c r="G72" i="4"/>
  <c r="G71" i="4"/>
  <c r="I71" i="4"/>
  <c r="H71" i="4"/>
  <c r="H75" i="4"/>
  <c r="G75" i="4"/>
  <c r="H85" i="4"/>
  <c r="G85" i="4"/>
  <c r="H78" i="4"/>
  <c r="G78" i="4"/>
  <c r="H76" i="4"/>
  <c r="G76" i="4"/>
  <c r="H86" i="4"/>
  <c r="G86" i="4"/>
  <c r="H80" i="4"/>
  <c r="G80" i="4"/>
  <c r="H77" i="4"/>
  <c r="G77" i="4"/>
  <c r="H87" i="4"/>
  <c r="G87" i="4"/>
  <c r="H73" i="4"/>
  <c r="I73" i="4"/>
  <c r="F54" i="4"/>
  <c r="P43" i="4"/>
  <c r="D68" i="1" l="1"/>
  <c r="E68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7" i="1"/>
  <c r="E67" i="1" s="1"/>
  <c r="D66" i="1"/>
  <c r="E66" i="1" s="1"/>
  <c r="D65" i="1"/>
  <c r="E65" i="1" s="1"/>
  <c r="D63" i="1"/>
  <c r="E63" i="1" s="1"/>
  <c r="D62" i="1"/>
  <c r="E62" i="1" s="1"/>
  <c r="D61" i="1"/>
  <c r="E61" i="1" s="1"/>
  <c r="K11" i="1"/>
  <c r="L11" i="1" s="1"/>
  <c r="J23" i="1"/>
  <c r="J22" i="1"/>
  <c r="J21" i="1"/>
  <c r="J20" i="1"/>
  <c r="J19" i="1"/>
  <c r="J18" i="1"/>
  <c r="H24" i="1"/>
  <c r="G24" i="1"/>
  <c r="F24" i="1"/>
  <c r="E24" i="1"/>
  <c r="F85" i="1"/>
  <c r="F98" i="4"/>
  <c r="F94" i="4"/>
  <c r="E42" i="4" s="1"/>
  <c r="I96" i="4" s="1"/>
  <c r="K54" i="4"/>
  <c r="H62" i="1" l="1"/>
  <c r="G62" i="1"/>
  <c r="F62" i="1"/>
  <c r="F65" i="1"/>
  <c r="G65" i="1"/>
  <c r="F61" i="1"/>
  <c r="G61" i="1"/>
  <c r="H61" i="1"/>
  <c r="G73" i="1"/>
  <c r="F73" i="1"/>
  <c r="G75" i="1"/>
  <c r="F75" i="1"/>
  <c r="F63" i="1"/>
  <c r="H63" i="1"/>
  <c r="G63" i="1"/>
  <c r="F67" i="1"/>
  <c r="G67" i="1"/>
  <c r="F76" i="1"/>
  <c r="G76" i="1"/>
  <c r="G66" i="1"/>
  <c r="F66" i="1"/>
  <c r="G68" i="1"/>
  <c r="F68" i="1"/>
  <c r="Q44" i="4"/>
  <c r="R45" i="4" s="1"/>
  <c r="Q45" i="4"/>
  <c r="R46" i="4" s="1"/>
  <c r="Q46" i="4"/>
  <c r="R47" i="4" s="1"/>
  <c r="Q47" i="4"/>
  <c r="R48" i="4" s="1"/>
  <c r="Q48" i="4"/>
  <c r="Q43" i="4"/>
  <c r="R44" i="4" s="1"/>
  <c r="F56" i="4" s="1"/>
  <c r="C24" i="1" l="1"/>
  <c r="E25" i="1"/>
  <c r="O32" i="1" l="1"/>
  <c r="O33" i="1"/>
  <c r="Q33" i="1"/>
  <c r="O34" i="1"/>
  <c r="Q34" i="1"/>
  <c r="O35" i="1"/>
  <c r="Q35" i="1"/>
  <c r="O36" i="1"/>
  <c r="Q36" i="1"/>
  <c r="O37" i="1"/>
  <c r="Q37" i="1"/>
  <c r="F9" i="4" l="1"/>
  <c r="C96" i="4" s="1"/>
  <c r="G98" i="4"/>
  <c r="H96" i="4"/>
  <c r="A95" i="4"/>
  <c r="A96" i="4" s="1"/>
  <c r="G94" i="4"/>
  <c r="A94" i="4"/>
  <c r="D64" i="4"/>
  <c r="B64" i="4"/>
  <c r="D62" i="4"/>
  <c r="B62" i="4"/>
  <c r="D60" i="4"/>
  <c r="B60" i="4"/>
  <c r="D58" i="4"/>
  <c r="B58" i="4"/>
  <c r="D56" i="4"/>
  <c r="B56" i="4"/>
  <c r="P44" i="4"/>
  <c r="D54" i="4"/>
  <c r="B54" i="4"/>
  <c r="B48" i="4"/>
  <c r="B47" i="4"/>
  <c r="B46" i="4"/>
  <c r="B45" i="4"/>
  <c r="B44" i="4"/>
  <c r="B43" i="4"/>
  <c r="H33" i="4"/>
  <c r="H32" i="4"/>
  <c r="H31" i="4"/>
  <c r="H30" i="4"/>
  <c r="H29" i="4"/>
  <c r="H28" i="4"/>
  <c r="K7" i="4"/>
  <c r="C94" i="4" l="1"/>
  <c r="H98" i="4"/>
  <c r="K9" i="4"/>
  <c r="K11" i="4" s="1"/>
  <c r="H94" i="4"/>
  <c r="H54" i="4"/>
  <c r="F58" i="4"/>
  <c r="F62" i="4"/>
  <c r="F60" i="4"/>
  <c r="H56" i="4"/>
  <c r="G44" i="4" s="1"/>
  <c r="F64" i="4"/>
  <c r="E49" i="4" l="1"/>
  <c r="F42" i="4"/>
  <c r="J96" i="4"/>
  <c r="D96" i="4" s="1"/>
  <c r="G43" i="4"/>
  <c r="L43" i="4" s="1"/>
  <c r="L11" i="4"/>
  <c r="J98" i="4"/>
  <c r="H64" i="4"/>
  <c r="G48" i="4" s="1"/>
  <c r="P48" i="4"/>
  <c r="H60" i="4"/>
  <c r="G46" i="4" s="1"/>
  <c r="P46" i="4"/>
  <c r="H62" i="4"/>
  <c r="G47" i="4" s="1"/>
  <c r="P47" i="4"/>
  <c r="H58" i="4"/>
  <c r="G45" i="4" s="1"/>
  <c r="P45" i="4"/>
  <c r="J43" i="4" l="1"/>
  <c r="K98" i="4"/>
  <c r="K96" i="4"/>
  <c r="E96" i="4" s="1"/>
  <c r="A59" i="1"/>
  <c r="I85" i="1" s="1"/>
  <c r="C85" i="1" s="1"/>
  <c r="D85" i="1" s="1"/>
  <c r="E85" i="1" s="1"/>
  <c r="B44" i="1"/>
  <c r="E39" i="1" l="1"/>
  <c r="B54" i="1"/>
  <c r="B52" i="1"/>
  <c r="B50" i="1"/>
  <c r="B48" i="1"/>
  <c r="B46" i="1"/>
  <c r="F8" i="1"/>
  <c r="C84" i="1" l="1"/>
  <c r="G85" i="1" l="1"/>
  <c r="J85" i="1" l="1"/>
  <c r="K85" i="1" s="1"/>
  <c r="F39" i="1" l="1"/>
  <c r="F84" i="1" l="1"/>
  <c r="D54" i="1" l="1"/>
  <c r="D52" i="1"/>
  <c r="D50" i="1"/>
  <c r="D48" i="1"/>
  <c r="D46" i="1"/>
  <c r="F44" i="1"/>
  <c r="D44" i="1"/>
  <c r="K44" i="1" l="1"/>
  <c r="H44" i="1"/>
  <c r="G32" i="1" s="1"/>
  <c r="L32" i="1" l="1"/>
  <c r="J32" i="1"/>
  <c r="F54" i="1"/>
  <c r="H54" i="1" s="1"/>
  <c r="G37" i="1" s="1"/>
  <c r="F46" i="1"/>
  <c r="H46" i="1" s="1"/>
  <c r="G33" i="1" s="1"/>
  <c r="F52" i="1"/>
  <c r="H52" i="1" s="1"/>
  <c r="G36" i="1" s="1"/>
  <c r="F50" i="1"/>
  <c r="H50" i="1" s="1"/>
  <c r="G35" i="1" s="1"/>
  <c r="F48" i="1"/>
  <c r="D84" i="1"/>
  <c r="K5" i="1"/>
  <c r="D78" i="1" s="1"/>
  <c r="E78" i="1" s="1"/>
  <c r="D79" i="1" l="1"/>
  <c r="E79" i="1" s="1"/>
  <c r="D60" i="1"/>
  <c r="K7" i="1"/>
  <c r="K9" i="1" s="1"/>
  <c r="L10" i="1" s="1"/>
  <c r="G84" i="1"/>
  <c r="H84" i="1" s="1"/>
  <c r="D24" i="1"/>
  <c r="E84" i="1"/>
  <c r="E38" i="1" l="1"/>
  <c r="C38" i="1" s="1"/>
  <c r="H85" i="1"/>
  <c r="C20" i="1"/>
  <c r="C18" i="1"/>
  <c r="C21" i="1"/>
  <c r="C22" i="1"/>
  <c r="C19" i="1"/>
  <c r="C23" i="1"/>
  <c r="D22" i="1"/>
  <c r="D19" i="1"/>
  <c r="D23" i="1"/>
  <c r="D18" i="1"/>
  <c r="D20" i="1"/>
  <c r="D21" i="1"/>
  <c r="E32" i="1" l="1"/>
  <c r="E34" i="1"/>
  <c r="E36" i="1"/>
  <c r="E33" i="1"/>
  <c r="E37" i="1"/>
  <c r="E35" i="1"/>
  <c r="B37" i="1"/>
  <c r="B36" i="1"/>
  <c r="B35" i="1"/>
  <c r="B34" i="1"/>
  <c r="B33" i="1"/>
  <c r="B32" i="1"/>
  <c r="H48" i="1" l="1"/>
  <c r="G34" i="1" s="1"/>
  <c r="C35" i="1"/>
  <c r="C36" i="1"/>
  <c r="C33" i="1"/>
  <c r="C32" i="1"/>
  <c r="C34" i="1"/>
  <c r="C37" i="1"/>
  <c r="G38" i="1" l="1"/>
  <c r="G79" i="1"/>
  <c r="D38" i="1"/>
  <c r="H40" i="1" l="1"/>
  <c r="I40" i="1"/>
  <c r="G74" i="1"/>
  <c r="G71" i="1"/>
  <c r="G78" i="1"/>
  <c r="E60" i="1"/>
  <c r="D37" i="1"/>
  <c r="F37" i="1" s="1"/>
  <c r="D36" i="1"/>
  <c r="F36" i="1" s="1"/>
  <c r="D34" i="1"/>
  <c r="F34" i="1" s="1"/>
  <c r="D33" i="1"/>
  <c r="F33" i="1" s="1"/>
  <c r="D35" i="1"/>
  <c r="F35" i="1" s="1"/>
  <c r="D32" i="1"/>
  <c r="F32" i="1" s="1"/>
  <c r="G72" i="1" l="1"/>
  <c r="G70" i="1"/>
  <c r="G60" i="1"/>
  <c r="F38" i="1"/>
  <c r="H38" i="1" l="1"/>
  <c r="H36" i="1" l="1"/>
  <c r="H37" i="1"/>
  <c r="H35" i="1"/>
  <c r="H34" i="1"/>
  <c r="H33" i="1"/>
  <c r="H60" i="1"/>
  <c r="I38" i="1" s="1"/>
  <c r="F78" i="1" s="1"/>
  <c r="F79" i="1"/>
  <c r="F74" i="1" l="1"/>
  <c r="F72" i="1"/>
  <c r="F71" i="1"/>
  <c r="F70" i="1"/>
  <c r="I34" i="1"/>
  <c r="L34" i="1" s="1"/>
  <c r="I35" i="1"/>
  <c r="L35" i="1" s="1"/>
  <c r="I33" i="1"/>
  <c r="L33" i="1" s="1"/>
  <c r="I36" i="1"/>
  <c r="L36" i="1" s="1"/>
  <c r="I37" i="1"/>
  <c r="L37" i="1" s="1"/>
  <c r="F60" i="1"/>
  <c r="K38" i="1"/>
  <c r="J94" i="4"/>
  <c r="D94" i="4" s="1"/>
  <c r="J35" i="1" l="1"/>
  <c r="J37" i="1"/>
  <c r="J33" i="1"/>
  <c r="J34" i="1"/>
  <c r="J36" i="1"/>
  <c r="L38" i="1"/>
  <c r="K94" i="4"/>
  <c r="E94" i="4" s="1"/>
  <c r="J38" i="1" l="1"/>
  <c r="G49" i="4" l="1"/>
  <c r="E84" i="4" s="1"/>
  <c r="J50" i="4" l="1"/>
  <c r="I50" i="4"/>
  <c r="H84" i="4"/>
  <c r="E70" i="4"/>
  <c r="H70" i="4" l="1"/>
  <c r="H49" i="4" s="1"/>
  <c r="H45" i="4" l="1"/>
  <c r="H46" i="4"/>
  <c r="H44" i="4"/>
  <c r="H48" i="4"/>
  <c r="H47" i="4"/>
  <c r="I70" i="4"/>
  <c r="I49" i="4" s="1"/>
  <c r="K49" i="4" s="1"/>
  <c r="G84" i="4" l="1"/>
  <c r="I45" i="4"/>
  <c r="L45" i="4" s="1"/>
  <c r="I44" i="4"/>
  <c r="L44" i="4" s="1"/>
  <c r="I48" i="4"/>
  <c r="J48" i="4" s="1"/>
  <c r="I47" i="4"/>
  <c r="J47" i="4" s="1"/>
  <c r="G70" i="4"/>
  <c r="I46" i="4"/>
  <c r="L46" i="4" s="1"/>
  <c r="L48" i="4" l="1"/>
  <c r="L47" i="4"/>
  <c r="J44" i="4"/>
  <c r="J46" i="4"/>
  <c r="J45" i="4"/>
  <c r="L49" i="4" l="1"/>
  <c r="J49" i="4"/>
  <c r="F50" i="4"/>
  <c r="E44" i="4"/>
  <c r="F44" i="4" l="1"/>
  <c r="E45" i="4"/>
  <c r="E48" i="4"/>
  <c r="C42" i="4"/>
  <c r="D42" i="4" s="1"/>
  <c r="C49" i="4"/>
  <c r="E47" i="4"/>
  <c r="E46" i="4"/>
  <c r="E43" i="4"/>
  <c r="F45" i="4" l="1"/>
  <c r="F46" i="4"/>
  <c r="F47" i="4"/>
  <c r="C48" i="4"/>
  <c r="D48" i="4" s="1"/>
  <c r="C44" i="4"/>
  <c r="D44" i="4" s="1"/>
  <c r="C45" i="4"/>
  <c r="D45" i="4" s="1"/>
  <c r="C46" i="4"/>
  <c r="D46" i="4" s="1"/>
  <c r="C43" i="4"/>
  <c r="D43" i="4" s="1"/>
  <c r="C47" i="4"/>
  <c r="D47" i="4" s="1"/>
  <c r="F48" i="4"/>
  <c r="D49" i="4"/>
  <c r="F43" i="4"/>
  <c r="F4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5" authorId="0" shapeId="0" xr:uid="{D354620C-2F50-4456-B278-AADA9CDC06BA}">
      <text>
        <r>
          <rPr>
            <b/>
            <sz val="9"/>
            <color indexed="81"/>
            <rFont val="Tahoma"/>
            <family val="2"/>
          </rPr>
          <t>Must be Canadian eligible cost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E57CD31A-9D5A-4920-8E5A-9761220ED1A3}">
      <text>
        <r>
          <rPr>
            <sz val="9"/>
            <color indexed="81"/>
            <rFont val="Tahoma"/>
            <family val="2"/>
          </rPr>
          <t xml:space="preserve">Knowledge Network, Télé-Québec, TFO and TVO
</t>
        </r>
      </text>
    </comment>
    <comment ref="E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Amount for the Anglophone Minority Incentive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0DAF1CEF-17A6-4C39-AAB5-FE88F14553A2}">
      <text>
        <r>
          <rPr>
            <b/>
            <sz val="9"/>
            <color indexed="81"/>
            <rFont val="Tahoma"/>
            <family val="2"/>
          </rPr>
          <t xml:space="preserve">Doit correspondre aux dépenses admissibles canadiennes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1F862FCB-1D08-4223-ABA5-02258DDBEF55}">
      <text>
        <r>
          <rPr>
            <b/>
            <sz val="9"/>
            <color indexed="81"/>
            <rFont val="Tahoma"/>
            <family val="2"/>
          </rPr>
          <t xml:space="preserve">Knowledge Network, Télé-Québec, TFO et TVO
</t>
        </r>
      </text>
    </comment>
    <comment ref="E11" authorId="0" shapeId="0" xr:uid="{81AE0806-DC81-4D66-A81D-DF9935272CCF}">
      <text>
        <r>
          <rPr>
            <b/>
            <sz val="9"/>
            <color indexed="81"/>
            <rFont val="Tahoma"/>
            <family val="2"/>
          </rPr>
          <t>Si oui, veuillez entrer le montant de la mesure incitative dans cette cellule</t>
        </r>
      </text>
    </comment>
  </commentList>
</comments>
</file>

<file path=xl/sharedStrings.xml><?xml version="1.0" encoding="utf-8"?>
<sst xmlns="http://schemas.openxmlformats.org/spreadsheetml/2006/main" count="380" uniqueCount="261">
  <si>
    <r>
      <rPr>
        <b/>
        <sz val="12"/>
        <rFont val="Calibri"/>
        <family val="2"/>
        <scheme val="minor"/>
      </rPr>
      <t>2025-2026 - Triggering Commitment Thresholds, Maximum Contribution and Term Calculation Sheet</t>
    </r>
    <r>
      <rPr>
        <b/>
        <sz val="13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
</t>
    </r>
    <r>
      <rPr>
        <b/>
        <u/>
        <sz val="14"/>
        <rFont val="Calibri"/>
        <family val="2"/>
        <scheme val="minor"/>
      </rPr>
      <t>English-Language</t>
    </r>
    <r>
      <rPr>
        <b/>
        <sz val="14"/>
        <rFont val="Calibri"/>
        <family val="2"/>
        <scheme val="minor"/>
      </rPr>
      <t xml:space="preserve">*  Anglophone Minority Incentive (AMI)
</t>
    </r>
    <r>
      <rPr>
        <b/>
        <sz val="10"/>
        <color rgb="FF0070C0"/>
        <rFont val="Calibri"/>
        <family val="2"/>
        <scheme val="minor"/>
      </rPr>
      <t>*voir onglet séparé au bas pour le PLFMM</t>
    </r>
  </si>
  <si>
    <t>Project
Name:</t>
  </si>
  <si>
    <t>Project No:</t>
  </si>
  <si>
    <t>Date:</t>
  </si>
  <si>
    <t>Please complete all green cells</t>
  </si>
  <si>
    <t>Budget/Final Cost</t>
  </si>
  <si>
    <t>Number                                     of Episodes</t>
  </si>
  <si>
    <t>Episode Length (in Min.)</t>
  </si>
  <si>
    <t>Total Hours</t>
  </si>
  <si>
    <t xml:space="preserve">Budget/Hour </t>
  </si>
  <si>
    <t>Are all Broadcasters Educational?</t>
  </si>
  <si>
    <t>Are the AMI Applicant’s development and production projects that received CMF funding mainly and predominantly in the English language?</t>
  </si>
  <si>
    <t>Is there an Incentive Program?</t>
  </si>
  <si>
    <t>Yes</t>
  </si>
  <si>
    <t>Carbon calculator required?</t>
  </si>
  <si>
    <t>AMI Contribution</t>
  </si>
  <si>
    <t>Described video required?</t>
  </si>
  <si>
    <t>Budget Category (Genre)</t>
  </si>
  <si>
    <t>(1): Enter Canadian broadcasters and licences first and in order of start of term dates</t>
  </si>
  <si>
    <t>(2): If the project has both English and French licences, do not complete the "Exclusivity" column</t>
  </si>
  <si>
    <t>For the Canadian Broadcaster(s)</t>
  </si>
  <si>
    <r>
      <t xml:space="preserve">Broadcaster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</t>
    </r>
  </si>
  <si>
    <t>Licence Fee Top-Up</t>
  </si>
  <si>
    <t>Equity</t>
  </si>
  <si>
    <r>
      <t xml:space="preserve">CMF  Contribution  </t>
    </r>
    <r>
      <rPr>
        <b/>
        <sz val="10"/>
        <color theme="3"/>
        <rFont val="Calibri"/>
        <family val="2"/>
        <scheme val="minor"/>
      </rPr>
      <t xml:space="preserve">(BEP only) </t>
    </r>
  </si>
  <si>
    <t xml:space="preserve">Distribution Advance
 (Intl. Right) 
</t>
  </si>
  <si>
    <t>International Entity
(Intl. Right)  Children &amp; Youth only</t>
  </si>
  <si>
    <r>
      <t xml:space="preserve">Start of Term Date </t>
    </r>
    <r>
      <rPr>
        <b/>
        <sz val="10"/>
        <color rgb="FF1F497D"/>
        <rFont val="Calibri"/>
        <family val="2"/>
        <scheme val="minor"/>
      </rPr>
      <t>(1)</t>
    </r>
  </si>
  <si>
    <t>End of Term Date</t>
  </si>
  <si>
    <t>Term Length
(in Months)</t>
  </si>
  <si>
    <r>
      <t xml:space="preserve">Exclusivity
(in Months) </t>
    </r>
    <r>
      <rPr>
        <b/>
        <sz val="10"/>
        <color rgb="FF1F497D"/>
        <rFont val="Calibri"/>
        <family val="2"/>
        <scheme val="minor"/>
      </rPr>
      <t xml:space="preserve"> (2)</t>
    </r>
  </si>
  <si>
    <t>Language</t>
  </si>
  <si>
    <t># 1</t>
  </si>
  <si>
    <t># 2</t>
  </si>
  <si>
    <t># 3</t>
  </si>
  <si>
    <t># 4</t>
  </si>
  <si>
    <t># 5</t>
  </si>
  <si>
    <t># 6</t>
  </si>
  <si>
    <t>Totals:</t>
  </si>
  <si>
    <t>Anglophone Minority  Incentive</t>
  </si>
  <si>
    <t>Notes:</t>
  </si>
  <si>
    <t>Maximum Terms, Broadcaster Envelope Program Contributions, Eligible Licence Fees and Minimum Market Contribution (MMC):</t>
  </si>
  <si>
    <t>MMC</t>
  </si>
  <si>
    <r>
      <t>Broadcaster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</t>
    </r>
  </si>
  <si>
    <t>Maximum Licence Fee  Top-Up</t>
  </si>
  <si>
    <t xml:space="preserve">Maximum  Investment </t>
  </si>
  <si>
    <t xml:space="preserve">CMF Contribution </t>
  </si>
  <si>
    <t>% CMF Contribution of Budget</t>
  </si>
  <si>
    <t>Canadian
Eligible Licence Fee (ELF)</t>
  </si>
  <si>
    <r>
      <t xml:space="preserve">Distributor </t>
    </r>
    <r>
      <rPr>
        <b/>
        <sz val="10"/>
        <color theme="3"/>
        <rFont val="Calibri"/>
        <family val="2"/>
        <scheme val="minor"/>
      </rPr>
      <t>(3)</t>
    </r>
    <r>
      <rPr>
        <b/>
        <sz val="10"/>
        <rFont val="Calibri"/>
        <family val="2"/>
        <scheme val="minor"/>
      </rPr>
      <t xml:space="preserve">
</t>
    </r>
  </si>
  <si>
    <r>
      <t>Intl. Entity
(Children &amp; Youth only</t>
    </r>
    <r>
      <rPr>
        <b/>
        <sz val="10"/>
        <color rgb="FF1F497D"/>
        <rFont val="Calibri"/>
        <family val="2"/>
        <scheme val="minor"/>
      </rPr>
      <t>)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theme="3"/>
        <rFont val="Calibri"/>
        <family val="2"/>
        <scheme val="minor"/>
      </rPr>
      <t>(3)</t>
    </r>
  </si>
  <si>
    <t>ELF &amp; MMC
% of Budget</t>
  </si>
  <si>
    <t>Total Eligible Triggering Commitment</t>
  </si>
  <si>
    <t>Surplus
Non-trigger
amounts</t>
  </si>
  <si>
    <t>Adjusted Term Length</t>
  </si>
  <si>
    <t>Adjusted Exclusivity</t>
  </si>
  <si>
    <t>Revised Start Date of Term</t>
  </si>
  <si>
    <t>N/A</t>
  </si>
  <si>
    <t>Totals :</t>
  </si>
  <si>
    <t>(3): Only the portion required to meet Threshold will appear in the MMC columns (H or I)</t>
  </si>
  <si>
    <t xml:space="preserve"> </t>
  </si>
  <si>
    <t>Licence Term Calculation:</t>
  </si>
  <si>
    <t>÷</t>
  </si>
  <si>
    <t>x</t>
  </si>
  <si>
    <t>=</t>
  </si>
  <si>
    <t>Last Day of Maximum Term:</t>
  </si>
  <si>
    <t>Total Licence</t>
  </si>
  <si>
    <t>Term Months</t>
  </si>
  <si>
    <t>Maximum Term</t>
  </si>
  <si>
    <t>Pro-Rated Amount</t>
  </si>
  <si>
    <t>Eligible Triggering Commitment Threshold:</t>
  </si>
  <si>
    <t>MMC  allowable</t>
  </si>
  <si>
    <t>Budget Category</t>
  </si>
  <si>
    <t>Formula</t>
  </si>
  <si>
    <t>Calculated Amount</t>
  </si>
  <si>
    <t xml:space="preserve">Threshold Respected? </t>
  </si>
  <si>
    <t>Over OR
 (Shortfall)</t>
  </si>
  <si>
    <t xml:space="preserve">Distributor
</t>
  </si>
  <si>
    <t xml:space="preserve">International Entity </t>
  </si>
  <si>
    <t xml:space="preserve">     * CHILDREN &amp; YOUTH *</t>
  </si>
  <si>
    <t>Live-action
Budget less than $750,000/hour</t>
  </si>
  <si>
    <t>Lesser of 20% and $130,000/hour</t>
  </si>
  <si>
    <t>Live-action
Budget more than or equal to $750,000/hour</t>
  </si>
  <si>
    <t>$130,000/hour</t>
  </si>
  <si>
    <t>No</t>
  </si>
  <si>
    <t>100% Animated Eligible Projects</t>
  </si>
  <si>
    <t>10% of eligible costs</t>
  </si>
  <si>
    <t>Theatrically-released Animated Feature Films</t>
  </si>
  <si>
    <t>Lesser of 5% and $190,000 by project</t>
  </si>
  <si>
    <t xml:space="preserve">     * DOCUMENTARY *</t>
  </si>
  <si>
    <t>One-offs and mini-series (excluding feature-length documentaries)</t>
  </si>
  <si>
    <t>Lesser of 30% or $100,000/hour</t>
  </si>
  <si>
    <t>Series</t>
  </si>
  <si>
    <t>Lesser of 40% or $100,000/hour</t>
  </si>
  <si>
    <r>
      <t xml:space="preserve">All projects 
over 400K per hour  </t>
    </r>
    <r>
      <rPr>
        <u/>
        <sz val="10"/>
        <rFont val="Calibri"/>
        <family val="2"/>
        <scheme val="minor"/>
      </rPr>
      <t>excl. feature-length docs</t>
    </r>
    <r>
      <rPr>
        <sz val="10"/>
        <rFont val="Calibri"/>
        <family val="2"/>
        <scheme val="minor"/>
      </rPr>
      <t>)</t>
    </r>
  </si>
  <si>
    <t>$100,000/hour</t>
  </si>
  <si>
    <t>Feature-length documentary</t>
  </si>
  <si>
    <t>Lesser of 10% or $60,000/project</t>
  </si>
  <si>
    <t xml:space="preserve">     * DRAMA *</t>
  </si>
  <si>
    <t>All projects less than $800,000/hour</t>
  </si>
  <si>
    <t>Lesser of 45% and $315,000/hour</t>
  </si>
  <si>
    <t>Series or one-off equal/more than $800,000/hour</t>
  </si>
  <si>
    <t>$315,000/hour</t>
  </si>
  <si>
    <t>MOW or miniseries equal/more than $800,000/hour and less than $1,857,143/hour</t>
  </si>
  <si>
    <t>$235,000/hour</t>
  </si>
  <si>
    <t>MOW or miniseries greater than $1,857,143/hour</t>
  </si>
  <si>
    <t>12.5% of budget</t>
  </si>
  <si>
    <t>Theatrically-released Feature Films</t>
  </si>
  <si>
    <t>Lesser of 5% and
$230,000/project</t>
  </si>
  <si>
    <t>1/2-hour pilot greater than $700,000 per 1/2hour</t>
  </si>
  <si>
    <t>$205,000/1/2-hour</t>
  </si>
  <si>
    <t>1-hour pilot greater than $1,750,000/hour</t>
  </si>
  <si>
    <t>$525,000/hour</t>
  </si>
  <si>
    <t xml:space="preserve">     * VAPA *</t>
  </si>
  <si>
    <t>Budget less than $750,000/hour</t>
  </si>
  <si>
    <t>Lesser of 40% or $240,000/hour</t>
  </si>
  <si>
    <t>Budget more than or equal to $750,000/hour</t>
  </si>
  <si>
    <t>$240,000/hour</t>
  </si>
  <si>
    <t>Maximum CMF Contribution:</t>
  </si>
  <si>
    <t xml:space="preserve">                       </t>
  </si>
  <si>
    <t xml:space="preserve">CMF Contribution    </t>
  </si>
  <si>
    <t>Broadcaster Envelope Program</t>
  </si>
  <si>
    <t>Anglophone Minority Incentive</t>
  </si>
  <si>
    <t>CMF Maximum</t>
  </si>
  <si>
    <t>Max. Contribution Respected?</t>
  </si>
  <si>
    <t>Over</t>
  </si>
  <si>
    <t xml:space="preserve">BEP Maximum </t>
  </si>
  <si>
    <t xml:space="preserve">Incentive Maximum </t>
  </si>
  <si>
    <t>Envelope Only</t>
  </si>
  <si>
    <t>Max of Eligible Costs</t>
  </si>
  <si>
    <t xml:space="preserve">
</t>
  </si>
  <si>
    <r>
      <rPr>
        <b/>
        <sz val="12"/>
        <rFont val="Calibri"/>
        <family val="2"/>
        <scheme val="minor"/>
      </rPr>
      <t>2025-2026 - Feuille de calcul des exigences seuil pour les déclencheurs admissibles, de la contribution et durée maximale</t>
    </r>
    <r>
      <rPr>
        <b/>
        <sz val="14"/>
        <rFont val="Calibri"/>
        <family val="2"/>
        <scheme val="minor"/>
      </rPr>
      <t xml:space="preserve">
• Programme pour les Projets de Langue Française en Milieu Minoritaire (PLFMM) • </t>
    </r>
  </si>
  <si>
    <t>Titre du projet :</t>
  </si>
  <si>
    <t>No du projet :</t>
  </si>
  <si>
    <t>Date :</t>
  </si>
  <si>
    <t>Complétez toutes les cellules vertes</t>
  </si>
  <si>
    <t>Catégorie de devis :</t>
  </si>
  <si>
    <t xml:space="preserve">Devis /Coût final de production </t>
  </si>
  <si>
    <t>Nombre
d'épisodes</t>
  </si>
  <si>
    <t>Durée des épisodes  (en min.)</t>
  </si>
  <si>
    <t>Nombre total d'heures</t>
  </si>
  <si>
    <r>
      <t xml:space="preserve">Les diffuseurs sont-ils </t>
    </r>
    <r>
      <rPr>
        <b/>
        <u/>
        <sz val="10"/>
        <color rgb="FF000000"/>
        <rFont val="Calibri"/>
        <family val="2"/>
        <scheme val="minor"/>
      </rPr>
      <t>tous</t>
    </r>
    <r>
      <rPr>
        <b/>
        <sz val="10"/>
        <color indexed="8"/>
        <rFont val="Calibri"/>
        <family val="2"/>
        <scheme val="minor"/>
      </rPr>
      <t xml:space="preserve"> éducatifs ?</t>
    </r>
  </si>
  <si>
    <t>Oui</t>
  </si>
  <si>
    <t xml:space="preserve">Devis/Heure </t>
  </si>
  <si>
    <r>
      <t xml:space="preserve">Y a-t-il une mesure incitative </t>
    </r>
    <r>
      <rPr>
        <b/>
        <sz val="10"/>
        <rFont val="Calibri"/>
        <family val="2"/>
        <scheme val="minor"/>
      </rPr>
      <t>?</t>
    </r>
  </si>
  <si>
    <t>Vidéodescription requise?</t>
  </si>
  <si>
    <t>Faut-il un minimum d'allocation des enveloppes des télédiffuseurs  (Env. des télédiffuseurs) ?</t>
  </si>
  <si>
    <t>Contribution PLFMM</t>
  </si>
  <si>
    <t>Est-ce une production inter-provinciale ?</t>
  </si>
  <si>
    <t>Indiquez le droit de propriété du (des) requérant(s) admissible(s) au PLFMM</t>
  </si>
  <si>
    <t>Si production interprovinciale, indiquez le devis PLFMM</t>
  </si>
  <si>
    <t>% sur le devis</t>
  </si>
  <si>
    <t>Contribution minimale</t>
  </si>
  <si>
    <t>Minimun des Env. des télédiffuseurs atteint ?</t>
  </si>
  <si>
    <r>
      <t xml:space="preserve">Montant excédentaire </t>
    </r>
    <r>
      <rPr>
        <b/>
        <sz val="10"/>
        <color rgb="FFFF0000"/>
        <rFont val="Calibri"/>
        <family val="2"/>
        <scheme val="minor"/>
      </rPr>
      <t>OU</t>
    </r>
    <r>
      <rPr>
        <b/>
        <sz val="10"/>
        <color indexed="8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</t>
    </r>
    <r>
      <rPr>
        <b/>
        <sz val="10"/>
        <color indexed="8"/>
        <rFont val="Calibri"/>
        <family val="2"/>
        <scheme val="minor"/>
      </rPr>
      <t>insuffisant</t>
    </r>
    <r>
      <rPr>
        <b/>
        <sz val="10"/>
        <rFont val="Calibri"/>
        <family val="2"/>
        <scheme val="minor"/>
      </rPr>
      <t>)</t>
    </r>
  </si>
  <si>
    <t>Contribution de l'enveloppe des télédiffuseurs</t>
  </si>
  <si>
    <t>(1) : Entrez les licences en premier et par ordre croissant de début des droits</t>
  </si>
  <si>
    <t>(2) : Lorsque le projet cumule des licences en français ET en anglais, ne pas compléter la colonne "Exclusivité"</t>
  </si>
  <si>
    <t>Pour chaque télédiffuseur canadien</t>
  </si>
  <si>
    <r>
      <t xml:space="preserve">Nom du télédiffuseur </t>
    </r>
    <r>
      <rPr>
        <b/>
        <sz val="10"/>
        <color theme="3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 xml:space="preserve">
ou Distributeur canadien admissible
ou Entité internationale admissible</t>
    </r>
  </si>
  <si>
    <r>
      <t xml:space="preserve">Contribution du FMC
</t>
    </r>
    <r>
      <rPr>
        <b/>
        <i/>
        <sz val="10"/>
        <color theme="3"/>
        <rFont val="Calibri"/>
        <family val="2"/>
        <scheme val="minor"/>
      </rPr>
      <t>(Entrez les Env. des télédiffuseurs)</t>
    </r>
  </si>
  <si>
    <t>Avance de distribution (droits internationaux)</t>
  </si>
  <si>
    <t>Entité internationale
(droits int.)
Enfants et jeunes seulement</t>
  </si>
  <si>
    <r>
      <t>Date de début de la période</t>
    </r>
    <r>
      <rPr>
        <b/>
        <sz val="10"/>
        <color theme="3"/>
        <rFont val="Calibri"/>
        <family val="2"/>
        <scheme val="minor"/>
      </rPr>
      <t xml:space="preserve"> (1)</t>
    </r>
  </si>
  <si>
    <t>Date de fin de la période</t>
  </si>
  <si>
    <t>Durée de la période (en mois)</t>
  </si>
  <si>
    <r>
      <t xml:space="preserve">Exclusivité (en mois) 
</t>
    </r>
    <r>
      <rPr>
        <b/>
        <sz val="10"/>
        <color theme="3"/>
        <rFont val="Calibri"/>
        <family val="2"/>
        <scheme val="minor"/>
      </rPr>
      <t>(2)</t>
    </r>
  </si>
  <si>
    <t>Langue</t>
  </si>
  <si>
    <t>PLFMM</t>
  </si>
  <si>
    <t>n° 1</t>
  </si>
  <si>
    <t>n° 2</t>
  </si>
  <si>
    <t>n° 3</t>
  </si>
  <si>
    <t>n° 4</t>
  </si>
  <si>
    <t>n° 5</t>
  </si>
  <si>
    <t>n° 6</t>
  </si>
  <si>
    <t>Totaux :</t>
  </si>
  <si>
    <t>Remarques :</t>
  </si>
  <si>
    <t>Durées maximales, contributions du FMC, Droits de diffusion admissibles et Contribution minimale du marché (« CMM ») :</t>
  </si>
  <si>
    <t>CMM</t>
  </si>
  <si>
    <r>
      <t>Nom du télédiffuseur</t>
    </r>
    <r>
      <rPr>
        <b/>
        <sz val="10"/>
        <rFont val="Calibri"/>
        <family val="2"/>
        <scheme val="minor"/>
      </rPr>
      <t xml:space="preserve">
ou Distributeur canadien admissible
ou Entité internationale admissible</t>
    </r>
  </si>
  <si>
    <t>Montant admissible du supplément de droits de diffusion</t>
  </si>
  <si>
    <t xml:space="preserve">Montant admissible de la participation au capital </t>
  </si>
  <si>
    <t>Contribution totale admissible du FMC</t>
  </si>
  <si>
    <t xml:space="preserve"> % Contribution du FMC sur le devis</t>
  </si>
  <si>
    <t>Droits de diffusion admissibles (DDA)
canadiens</t>
  </si>
  <si>
    <r>
      <t xml:space="preserve">Distributeur
</t>
    </r>
    <r>
      <rPr>
        <b/>
        <sz val="10"/>
        <color theme="3"/>
        <rFont val="Calibri"/>
        <family val="2"/>
        <scheme val="minor"/>
      </rPr>
      <t>(3)</t>
    </r>
  </si>
  <si>
    <r>
      <t xml:space="preserve">Entité internationale
pour Enfants et jeunes </t>
    </r>
    <r>
      <rPr>
        <b/>
        <sz val="10"/>
        <color rgb="FF1F497D"/>
        <rFont val="Calibri"/>
        <family val="2"/>
        <scheme val="minor"/>
      </rPr>
      <t>(3)</t>
    </r>
  </si>
  <si>
    <t xml:space="preserve"> % sur le devis des
DDA &amp;
CMM</t>
  </si>
  <si>
    <t>Total pour les déclencheurs admissibles</t>
  </si>
  <si>
    <t>Surplus
Montants non déclencheurs</t>
  </si>
  <si>
    <t>Durée ajustée</t>
  </si>
  <si>
    <t>Durée d'exclusivité  ajustée</t>
  </si>
  <si>
    <t>Date révisée du début de la durée</t>
  </si>
  <si>
    <t>S/O</t>
  </si>
  <si>
    <t>Totaux :</t>
  </si>
  <si>
    <t>(3) : Seul le montant requis pour atteindre l'exigence seuil apparaîtra dans les colonnes des CMM (H ou I )</t>
  </si>
  <si>
    <t>Calcul de la durée des droits de diffusion :</t>
  </si>
  <si>
    <t>Dernier jour de la durée maximale</t>
  </si>
  <si>
    <t>Montant total des droits de diffusion</t>
  </si>
  <si>
    <t>Durée 
(en mois)</t>
  </si>
  <si>
    <t>Durée maximale</t>
  </si>
  <si>
    <t>Montant proportionnel</t>
  </si>
  <si>
    <t>Exigence seuil pour les déclencheurs admissibles:</t>
  </si>
  <si>
    <t>CMM permise</t>
  </si>
  <si>
    <t>Catégorie de devis</t>
  </si>
  <si>
    <t>Formule</t>
  </si>
  <si>
    <t>Calcul du montant</t>
  </si>
  <si>
    <t xml:space="preserve">Exigence seuil respectée ? </t>
  </si>
  <si>
    <t>Montant excédentaire OU (insuffisant)</t>
  </si>
  <si>
    <t xml:space="preserve">Distributeur
</t>
  </si>
  <si>
    <t xml:space="preserve">Entité internationale
</t>
  </si>
  <si>
    <t>* Émissions pour enfants et jeunes *</t>
  </si>
  <si>
    <t>Tournage en direct, devis de moins de 750 000 $/heure</t>
  </si>
  <si>
    <t>Non</t>
  </si>
  <si>
    <t>Tournage en direct, devis égal ou supérieur à 750 000 $/heure</t>
  </si>
  <si>
    <t>Animation (excl. longs métrages d'animation lancés en salle)</t>
  </si>
  <si>
    <t>Mesure incitative pour les projets nordiques</t>
  </si>
  <si>
    <t>Longs métrages d’animation lancés en salle</t>
  </si>
  <si>
    <t>Moindre des 2:
5% des coûts admissibles ou 
120 000 $</t>
  </si>
  <si>
    <t>* Documentaires *</t>
  </si>
  <si>
    <r>
      <t>Devis inférieur à 100 000 $/heure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</si>
  <si>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r>
      <t>Devis entre 100 000 $ et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</si>
  <si>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r>
      <t>Devis supérieur à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</si>
  <si>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t>Moindre des 2: 15% des coûts admissibles ou 
60 000$/heure</t>
  </si>
  <si>
    <t>Long métrage documentaire</t>
  </si>
  <si>
    <r>
      <t>Moindre des 2: 10% des coûts admissibles ou 
60 000$/</t>
    </r>
    <r>
      <rPr>
        <sz val="10"/>
        <rFont val="Calibri"/>
        <family val="2"/>
        <scheme val="minor"/>
      </rPr>
      <t xml:space="preserve"> par projet</t>
    </r>
  </si>
  <si>
    <t>* Variétés et Arts de la scène *</t>
  </si>
  <si>
    <t>Devis inférieur à 750 000 $/heure</t>
  </si>
  <si>
    <t>Devis égal ou supérieur à 750 000 $/heure</t>
  </si>
  <si>
    <t>Arts de la scène (de toutes envergures budgétaires)</t>
  </si>
  <si>
    <t>* Dramatiques *</t>
  </si>
  <si>
    <t>Devis inférieur à 250 000 $/heure</t>
  </si>
  <si>
    <t>Devis égal ou supérieur à 250 000 $ et inférieur à 800 000 $/heure</t>
  </si>
  <si>
    <t>Devis égal ou supérieur à 800 000 $/heure</t>
  </si>
  <si>
    <t>Moindre des 2:
20% des coûts admissibles ou 
195 000 $/heure</t>
  </si>
  <si>
    <t>Téléfilms</t>
  </si>
  <si>
    <t>Contributions maximales :</t>
  </si>
  <si>
    <t>Contribution FMC</t>
  </si>
  <si>
    <t>Enveloppes des télédiffuseurs
 (Env. des télédiffuseurs)</t>
  </si>
  <si>
    <r>
      <t xml:space="preserve">Mesures incitatives </t>
    </r>
    <r>
      <rPr>
        <b/>
        <sz val="10"/>
        <color rgb="FFFF0000"/>
        <rFont val="Calibri"/>
        <family val="2"/>
        <scheme val="minor"/>
      </rPr>
      <t>***</t>
    </r>
  </si>
  <si>
    <t>Catégorie du devis</t>
  </si>
  <si>
    <t>Maximum 
FMC</t>
  </si>
  <si>
    <t>Contribution maximale respectée ?</t>
  </si>
  <si>
    <t>Montant excédentaire</t>
  </si>
  <si>
    <t>Maximum PLFMM</t>
  </si>
  <si>
    <t>Maximum
Enveloppes des télédiffuseurs</t>
  </si>
  <si>
    <t xml:space="preserve">Maximum </t>
  </si>
  <si>
    <t>*Tous les genres sauf dramatiques et animation*</t>
  </si>
  <si>
    <t>49% ou max 550 000 $ ou  84% si combiné avec les Env. des télédiffuseurs</t>
  </si>
  <si>
    <t>* Animation *</t>
  </si>
  <si>
    <t>Toutes les émissions</t>
  </si>
  <si>
    <t>49% ou max 750 000 $ ou 84% si combiné avec les Env. des télédiffuseurs</t>
  </si>
  <si>
    <t>***</t>
  </si>
  <si>
    <t xml:space="preserve">30% des dépenses admissibles (max. 200 000 $) </t>
  </si>
  <si>
    <t>49% ou max 1 200 000 $ ou 84% si combiné avec les Env. des télédiffuseurs</t>
  </si>
  <si>
    <r>
      <t xml:space="preserve">Canadian
Licence Fee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>*</t>
    </r>
  </si>
  <si>
    <t>*Reminder: Use of the Alternative Access Allocation requires an accompanying minimum Eligible Licence Fee of $5,000 in the application (see section 3.2 of the Broadcaster Envelope Manual).</t>
  </si>
  <si>
    <r>
      <t xml:space="preserve">Droits de diffusion admissibles (canadiens)
</t>
    </r>
    <r>
      <rPr>
        <b/>
        <sz val="10"/>
        <color theme="3"/>
        <rFont val="Calibri"/>
        <family val="2"/>
        <scheme val="minor"/>
      </rPr>
      <t>(1)*</t>
    </r>
  </si>
  <si>
    <t>*Rappel : pour avoir recours aux enveloppes de l’accès parallèle, il faudra avoir obtenu un droit de diffusion admissible d’au moins 5 000 $ au moment du dépôt de la demande (voir la section 3.2 du Guide des enveloppes des télédiffuseurs).</t>
  </si>
  <si>
    <t>% du devis PLFMM</t>
  </si>
  <si>
    <t>Calculateur de carbone requis?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</si>
</sst>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#,##0\ &quot;$&quot;_);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-* #,##0_-;\-* #,##0_-;_-* &quot;-&quot;_-;_-@_-"/>
    <numFmt numFmtId="165" formatCode="_-&quot;$&quot;* #,##0_-;\-&quot;$&quot;* #,##0_-;_-&quot;$&quot;* &quot;-&quot;_-;_-@_-"/>
    <numFmt numFmtId="166" formatCode="&quot;$&quot;#,##0.00_);\(&quot;$&quot;#,##0.00\)"/>
    <numFmt numFmtId="167" formatCode="0.0%"/>
    <numFmt numFmtId="168" formatCode="[$-409]d\-mmm\-yyyy;@"/>
    <numFmt numFmtId="169" formatCode=";;;"/>
    <numFmt numFmtId="170" formatCode="&quot;$&quot;#,##0"/>
    <numFmt numFmtId="171" formatCode="yyyy\-mm\-dd;@"/>
    <numFmt numFmtId="172" formatCode="[$$-1009]#,##0"/>
    <numFmt numFmtId="173" formatCode="#,##0.0_);\(#,##0.0\)"/>
    <numFmt numFmtId="174" formatCode="[$$-409]#,##0_);\([$$-409]#,##0\)"/>
    <numFmt numFmtId="175" formatCode="[$-40C]d\-mmm\-yyyy;@"/>
    <numFmt numFmtId="176" formatCode="[$$-1009]#,##0;\-[$$-1009]#,##0"/>
    <numFmt numFmtId="177" formatCode="#,##0\ [$$-C0C]_);\(#,##0\ [$$-C0C]\)"/>
    <numFmt numFmtId="178" formatCode="#,##0.00\ [$$-C0C]_);\(#,##0.00\ [$$-C0C]\)"/>
    <numFmt numFmtId="179" formatCode="_-&quot;$&quot;* #,##0.00_-;\-&quot;$&quot;* #,##0.00_-;_-&quot;$&quot;* &quot;-&quot;??_-;_-@_-"/>
    <numFmt numFmtId="180" formatCode="#,##0\ &quot;$&quot;"/>
    <numFmt numFmtId="181" formatCode="_ * #,##0_)\ &quot;$&quot;_ ;_ * \(#,##0\)\ &quot;$&quot;_ ;_ * &quot;-&quot;??_)\ &quot;$&quot;_ ;_ @_ "/>
    <numFmt numFmtId="182" formatCode="#,##0\ [$$-C0C]"/>
    <numFmt numFmtId="183" formatCode="_ * #,##0_)\ [$$-C0C]_ ;_ * \(#,##0\)\ [$$-C0C]_ ;_ * &quot;-&quot;??_)\ [$$-C0C]_ ;_ @_ "/>
  </numFmts>
  <fonts count="91" x14ac:knownFonts="1">
    <font>
      <sz val="12"/>
      <name val="Arial"/>
    </font>
    <font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trike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rgb="FF92D05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3"/>
      <name val="Arial"/>
      <family val="2"/>
    </font>
    <font>
      <b/>
      <sz val="10"/>
      <color theme="3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sz val="9.5"/>
      <name val="Arial"/>
      <family val="2"/>
    </font>
    <font>
      <b/>
      <sz val="10"/>
      <color rgb="FF1F497D"/>
      <name val="Calibri"/>
      <family val="2"/>
      <scheme val="minor"/>
    </font>
    <font>
      <b/>
      <i/>
      <sz val="10"/>
      <color rgb="FF1F497D"/>
      <name val="Calibri"/>
      <family val="2"/>
    </font>
    <font>
      <sz val="8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rgb="FFF8A15A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1EB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165" fontId="11" fillId="0" borderId="0" xfId="2" applyFont="1" applyFill="1" applyBorder="1" applyAlignment="1" applyProtection="1">
      <alignment horizontal="left" vertical="center" wrapText="1"/>
    </xf>
    <xf numFmtId="165" fontId="20" fillId="0" borderId="0" xfId="2" applyFont="1" applyFill="1" applyBorder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166" fontId="3" fillId="0" borderId="0" xfId="2" applyNumberFormat="1" applyFont="1" applyFill="1" applyBorder="1" applyAlignment="1" applyProtection="1">
      <alignment horizontal="center" vertical="center" wrapText="1"/>
    </xf>
    <xf numFmtId="165" fontId="3" fillId="0" borderId="0" xfId="2" applyFont="1" applyFill="1" applyBorder="1" applyAlignment="1" applyProtection="1">
      <alignment horizontal="center" vertical="center" wrapText="1"/>
    </xf>
    <xf numFmtId="37" fontId="3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169" fontId="6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4" fillId="6" borderId="0" xfId="0" applyFont="1" applyFill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6" fontId="25" fillId="0" borderId="0" xfId="2" applyNumberFormat="1" applyFont="1" applyFill="1" applyBorder="1" applyAlignment="1" applyProtection="1">
      <alignment horizontal="center" vertical="center" wrapText="1"/>
    </xf>
    <xf numFmtId="165" fontId="26" fillId="0" borderId="0" xfId="2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0" fontId="24" fillId="6" borderId="0" xfId="0" applyFont="1" applyFill="1" applyAlignment="1">
      <alignment horizontal="center" vertical="center" wrapText="1"/>
    </xf>
    <xf numFmtId="0" fontId="24" fillId="0" borderId="0" xfId="0" applyFont="1"/>
    <xf numFmtId="165" fontId="24" fillId="0" borderId="4" xfId="2" applyFont="1" applyFill="1" applyBorder="1" applyAlignment="1" applyProtection="1">
      <alignment horizontal="right" vertical="center" wrapText="1"/>
    </xf>
    <xf numFmtId="165" fontId="24" fillId="0" borderId="4" xfId="2" applyFont="1" applyFill="1" applyBorder="1" applyAlignment="1" applyProtection="1">
      <alignment vertical="center" wrapText="1"/>
    </xf>
    <xf numFmtId="0" fontId="25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165" fontId="13" fillId="0" borderId="0" xfId="2" applyFont="1" applyFill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 wrapText="1"/>
    </xf>
    <xf numFmtId="171" fontId="32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30" fillId="3" borderId="5" xfId="3" applyFont="1" applyFill="1" applyBorder="1" applyAlignment="1" applyProtection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/>
    <xf numFmtId="0" fontId="34" fillId="0" borderId="0" xfId="0" applyFont="1" applyAlignment="1">
      <alignment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6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170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7" fillId="11" borderId="5" xfId="0" applyFont="1" applyFill="1" applyBorder="1" applyAlignment="1">
      <alignment horizontal="center" vertical="center" wrapText="1"/>
    </xf>
    <xf numFmtId="0" fontId="39" fillId="6" borderId="4" xfId="0" applyFont="1" applyFill="1" applyBorder="1" applyAlignment="1">
      <alignment horizontal="right" vertical="center" wrapText="1"/>
    </xf>
    <xf numFmtId="0" fontId="41" fillId="6" borderId="4" xfId="0" applyFont="1" applyFill="1" applyBorder="1" applyAlignment="1">
      <alignment horizontal="left" vertical="center"/>
    </xf>
    <xf numFmtId="0" fontId="41" fillId="6" borderId="0" xfId="0" applyFont="1" applyFill="1" applyAlignment="1">
      <alignment horizontal="left" vertical="center"/>
    </xf>
    <xf numFmtId="0" fontId="45" fillId="0" borderId="0" xfId="0" applyFont="1" applyAlignment="1">
      <alignment vertical="center"/>
    </xf>
    <xf numFmtId="174" fontId="31" fillId="5" borderId="5" xfId="2" applyNumberFormat="1" applyFont="1" applyFill="1" applyBorder="1" applyAlignment="1" applyProtection="1">
      <alignment horizontal="center" vertical="center" wrapText="1"/>
      <protection locked="0"/>
    </xf>
    <xf numFmtId="37" fontId="31" fillId="2" borderId="5" xfId="2" applyNumberFormat="1" applyFont="1" applyFill="1" applyBorder="1" applyAlignment="1" applyProtection="1">
      <alignment horizontal="center" vertical="center" wrapText="1"/>
      <protection locked="0"/>
    </xf>
    <xf numFmtId="173" fontId="31" fillId="3" borderId="5" xfId="2" applyNumberFormat="1" applyFont="1" applyFill="1" applyBorder="1" applyAlignment="1" applyProtection="1">
      <alignment horizontal="center" vertical="center" wrapText="1"/>
    </xf>
    <xf numFmtId="49" fontId="31" fillId="2" borderId="5" xfId="2" applyNumberFormat="1" applyFont="1" applyFill="1" applyBorder="1" applyAlignment="1" applyProtection="1">
      <alignment horizontal="center" vertical="center" wrapText="1"/>
      <protection locked="0"/>
    </xf>
    <xf numFmtId="172" fontId="30" fillId="0" borderId="19" xfId="2" applyNumberFormat="1" applyFont="1" applyFill="1" applyBorder="1" applyAlignment="1" applyProtection="1">
      <alignment horizontal="center" vertical="center" wrapText="1"/>
    </xf>
    <xf numFmtId="172" fontId="30" fillId="0" borderId="19" xfId="2" applyNumberFormat="1" applyFont="1" applyFill="1" applyBorder="1" applyAlignment="1" applyProtection="1">
      <alignment horizontal="right" vertical="center" wrapText="1"/>
    </xf>
    <xf numFmtId="0" fontId="31" fillId="3" borderId="3" xfId="0" applyFont="1" applyFill="1" applyBorder="1" applyAlignment="1">
      <alignment horizontal="center" vertical="center" wrapText="1"/>
    </xf>
    <xf numFmtId="168" fontId="31" fillId="3" borderId="6" xfId="0" applyNumberFormat="1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 wrapText="1"/>
    </xf>
    <xf numFmtId="0" fontId="30" fillId="16" borderId="5" xfId="0" applyFont="1" applyFill="1" applyBorder="1" applyAlignment="1">
      <alignment horizontal="center" vertical="center" wrapText="1"/>
    </xf>
    <xf numFmtId="172" fontId="31" fillId="3" borderId="5" xfId="4" applyNumberFormat="1" applyFont="1" applyFill="1" applyBorder="1" applyAlignment="1" applyProtection="1">
      <alignment horizontal="center" vertical="center"/>
    </xf>
    <xf numFmtId="174" fontId="0" fillId="0" borderId="0" xfId="0" applyNumberFormat="1"/>
    <xf numFmtId="44" fontId="0" fillId="0" borderId="0" xfId="4" applyFont="1" applyProtection="1"/>
    <xf numFmtId="5" fontId="31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34" fillId="2" borderId="5" xfId="2" applyNumberFormat="1" applyFont="1" applyFill="1" applyBorder="1" applyAlignment="1" applyProtection="1">
      <alignment horizontal="center" vertical="center" wrapText="1"/>
      <protection locked="0"/>
    </xf>
    <xf numFmtId="5" fontId="31" fillId="2" borderId="5" xfId="2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174" fontId="30" fillId="0" borderId="0" xfId="2" applyNumberFormat="1" applyFont="1" applyFill="1" applyBorder="1" applyAlignment="1" applyProtection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5" fontId="6" fillId="0" borderId="0" xfId="2" applyFont="1" applyFill="1" applyBorder="1" applyAlignment="1" applyProtection="1">
      <alignment horizontal="right" vertical="center" wrapText="1"/>
    </xf>
    <xf numFmtId="169" fontId="6" fillId="0" borderId="0" xfId="0" applyNumberFormat="1" applyFont="1" applyAlignment="1">
      <alignment horizontal="right" vertical="center" wrapText="1"/>
    </xf>
    <xf numFmtId="164" fontId="6" fillId="0" borderId="0" xfId="1" applyFont="1" applyFill="1" applyBorder="1" applyAlignment="1" applyProtection="1">
      <alignment vertical="center" wrapText="1"/>
    </xf>
    <xf numFmtId="165" fontId="6" fillId="0" borderId="0" xfId="2" applyFont="1" applyFill="1" applyBorder="1" applyAlignment="1" applyProtection="1">
      <alignment vertical="center" wrapText="1"/>
    </xf>
    <xf numFmtId="172" fontId="1" fillId="0" borderId="0" xfId="0" applyNumberFormat="1" applyFont="1" applyAlignment="1">
      <alignment vertical="center"/>
    </xf>
    <xf numFmtId="166" fontId="6" fillId="0" borderId="0" xfId="2" applyNumberFormat="1" applyFont="1" applyFill="1" applyBorder="1" applyAlignment="1" applyProtection="1">
      <alignment horizontal="center" vertical="center" wrapText="1"/>
    </xf>
    <xf numFmtId="165" fontId="8" fillId="0" borderId="0" xfId="2" applyFont="1" applyFill="1" applyBorder="1" applyAlignment="1" applyProtection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9" fontId="31" fillId="3" borderId="6" xfId="3" applyFont="1" applyFill="1" applyBorder="1" applyAlignment="1" applyProtection="1">
      <alignment horizontal="center" vertical="center" wrapText="1"/>
    </xf>
    <xf numFmtId="0" fontId="55" fillId="0" borderId="0" xfId="0" applyFont="1"/>
    <xf numFmtId="0" fontId="53" fillId="0" borderId="0" xfId="0" applyFont="1" applyAlignment="1">
      <alignment vertical="center"/>
    </xf>
    <xf numFmtId="0" fontId="52" fillId="0" borderId="0" xfId="0" applyFont="1"/>
    <xf numFmtId="0" fontId="35" fillId="0" borderId="13" xfId="0" applyFont="1" applyBorder="1" applyAlignment="1">
      <alignment horizontal="right" vertical="center" wrapText="1"/>
    </xf>
    <xf numFmtId="0" fontId="35" fillId="0" borderId="15" xfId="0" applyFont="1" applyBorder="1" applyAlignment="1">
      <alignment horizontal="right" vertical="center" wrapText="1"/>
    </xf>
    <xf numFmtId="0" fontId="35" fillId="0" borderId="13" xfId="0" applyFont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7" fillId="0" borderId="2" xfId="0" applyFont="1" applyBorder="1" applyAlignment="1">
      <alignment horizontal="right" vertical="center" wrapText="1"/>
    </xf>
    <xf numFmtId="0" fontId="52" fillId="0" borderId="0" xfId="0" applyFont="1" applyAlignment="1">
      <alignment horizontal="right" vertical="center" wrapText="1"/>
    </xf>
    <xf numFmtId="0" fontId="57" fillId="0" borderId="0" xfId="0" applyFont="1" applyAlignment="1">
      <alignment horizontal="left" vertical="center" wrapText="1"/>
    </xf>
    <xf numFmtId="165" fontId="58" fillId="0" borderId="0" xfId="2" applyFont="1" applyFill="1" applyBorder="1" applyAlignment="1" applyProtection="1">
      <alignment vertical="center" wrapText="1"/>
    </xf>
    <xf numFmtId="0" fontId="52" fillId="0" borderId="0" xfId="0" applyFont="1" applyAlignment="1">
      <alignment vertical="center"/>
    </xf>
    <xf numFmtId="0" fontId="30" fillId="0" borderId="7" xfId="0" applyFont="1" applyBorder="1" applyAlignment="1">
      <alignment horizontal="right" vertical="center" wrapText="1"/>
    </xf>
    <xf numFmtId="0" fontId="55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55" fillId="0" borderId="0" xfId="0" applyFont="1" applyProtection="1"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3" fillId="0" borderId="0" xfId="0" applyFont="1" applyProtection="1">
      <protection locked="0"/>
    </xf>
    <xf numFmtId="0" fontId="59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7" fillId="0" borderId="19" xfId="0" applyFont="1" applyBorder="1" applyAlignment="1">
      <alignment horizontal="left" vertical="center" wrapText="1" indent="1"/>
    </xf>
    <xf numFmtId="0" fontId="61" fillId="0" borderId="0" xfId="0" applyFont="1" applyAlignment="1">
      <alignment vertical="center"/>
    </xf>
    <xf numFmtId="181" fontId="31" fillId="3" borderId="5" xfId="7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vertical="center" wrapText="1"/>
    </xf>
    <xf numFmtId="5" fontId="40" fillId="3" borderId="5" xfId="2" applyNumberFormat="1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vertical="center"/>
    </xf>
    <xf numFmtId="5" fontId="39" fillId="0" borderId="0" xfId="0" applyNumberFormat="1" applyFont="1" applyAlignment="1">
      <alignment vertical="center"/>
    </xf>
    <xf numFmtId="5" fontId="34" fillId="2" borderId="5" xfId="2" applyNumberFormat="1" applyFont="1" applyFill="1" applyBorder="1" applyAlignment="1" applyProtection="1">
      <alignment horizontal="right" vertical="center" wrapText="1"/>
      <protection locked="0"/>
    </xf>
    <xf numFmtId="0" fontId="35" fillId="3" borderId="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5" fontId="34" fillId="2" borderId="9" xfId="2" applyNumberFormat="1" applyFont="1" applyFill="1" applyBorder="1" applyAlignment="1" applyProtection="1">
      <alignment horizontal="right" vertical="center" wrapText="1"/>
      <protection locked="0"/>
    </xf>
    <xf numFmtId="0" fontId="5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30" fillId="10" borderId="5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2" xfId="0" applyFont="1" applyBorder="1" applyAlignment="1">
      <alignment vertical="center" wrapText="1"/>
    </xf>
    <xf numFmtId="0" fontId="59" fillId="0" borderId="0" xfId="0" applyFont="1" applyAlignment="1" applyProtection="1">
      <alignment vertical="center" wrapText="1"/>
      <protection locked="0"/>
    </xf>
    <xf numFmtId="0" fontId="41" fillId="6" borderId="14" xfId="0" applyFont="1" applyFill="1" applyBorder="1" applyAlignment="1">
      <alignment horizontal="left" vertical="center"/>
    </xf>
    <xf numFmtId="0" fontId="52" fillId="6" borderId="0" xfId="0" applyFont="1" applyFill="1" applyAlignment="1">
      <alignment vertical="center"/>
    </xf>
    <xf numFmtId="0" fontId="41" fillId="6" borderId="2" xfId="0" applyFont="1" applyFill="1" applyBorder="1" applyAlignment="1">
      <alignment horizontal="left" vertical="center"/>
    </xf>
    <xf numFmtId="0" fontId="37" fillId="6" borderId="0" xfId="0" applyFont="1" applyFill="1" applyAlignment="1">
      <alignment wrapText="1"/>
    </xf>
    <xf numFmtId="0" fontId="52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65" fillId="0" borderId="14" xfId="0" applyFont="1" applyBorder="1" applyAlignment="1">
      <alignment horizontal="center" vertical="center" wrapText="1"/>
    </xf>
    <xf numFmtId="181" fontId="34" fillId="3" borderId="22" xfId="7" applyNumberFormat="1" applyFont="1" applyFill="1" applyBorder="1" applyAlignment="1" applyProtection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180" fontId="37" fillId="0" borderId="0" xfId="3" applyNumberFormat="1" applyFont="1" applyFill="1" applyBorder="1" applyAlignment="1" applyProtection="1">
      <alignment horizontal="center" vertical="center" wrapText="1"/>
    </xf>
    <xf numFmtId="0" fontId="52" fillId="6" borderId="4" xfId="0" applyFont="1" applyFill="1" applyBorder="1" applyAlignment="1">
      <alignment horizontal="right" vertical="center" wrapText="1"/>
    </xf>
    <xf numFmtId="165" fontId="52" fillId="6" borderId="4" xfId="2" applyFont="1" applyFill="1" applyBorder="1" applyAlignment="1" applyProtection="1">
      <alignment horizontal="right" vertical="center" wrapText="1"/>
    </xf>
    <xf numFmtId="165" fontId="52" fillId="0" borderId="4" xfId="2" applyFont="1" applyFill="1" applyBorder="1" applyAlignment="1" applyProtection="1">
      <alignment vertical="center" wrapText="1"/>
    </xf>
    <xf numFmtId="0" fontId="55" fillId="0" borderId="4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44" fontId="55" fillId="0" borderId="0" xfId="7" applyFont="1" applyAlignment="1" applyProtection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52" fillId="0" borderId="0" xfId="0" applyFont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5" fontId="55" fillId="0" borderId="0" xfId="0" applyNumberFormat="1" applyFont="1" applyAlignment="1">
      <alignment vertical="center"/>
    </xf>
    <xf numFmtId="10" fontId="34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47" fillId="0" borderId="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175" fontId="31" fillId="3" borderId="3" xfId="0" applyNumberFormat="1" applyFont="1" applyFill="1" applyBorder="1" applyAlignment="1">
      <alignment horizontal="center" vertical="center"/>
    </xf>
    <xf numFmtId="5" fontId="61" fillId="0" borderId="0" xfId="0" applyNumberFormat="1" applyFont="1" applyAlignment="1">
      <alignment vertical="center"/>
    </xf>
    <xf numFmtId="174" fontId="0" fillId="0" borderId="0" xfId="0" applyNumberFormat="1" applyAlignment="1">
      <alignment vertical="center"/>
    </xf>
    <xf numFmtId="181" fontId="1" fillId="0" borderId="0" xfId="4" applyNumberFormat="1" applyFont="1" applyAlignment="1">
      <alignment vertical="center"/>
    </xf>
    <xf numFmtId="5" fontId="52" fillId="0" borderId="0" xfId="0" applyNumberFormat="1" applyFont="1" applyAlignment="1">
      <alignment vertical="center"/>
    </xf>
    <xf numFmtId="0" fontId="61" fillId="17" borderId="3" xfId="0" applyFont="1" applyFill="1" applyBorder="1" applyAlignment="1">
      <alignment vertical="center"/>
    </xf>
    <xf numFmtId="0" fontId="61" fillId="17" borderId="1" xfId="0" applyFont="1" applyFill="1" applyBorder="1" applyAlignment="1">
      <alignment vertical="center"/>
    </xf>
    <xf numFmtId="0" fontId="55" fillId="17" borderId="6" xfId="0" applyFont="1" applyFill="1" applyBorder="1" applyAlignment="1">
      <alignment horizontal="center" vertical="center"/>
    </xf>
    <xf numFmtId="5" fontId="53" fillId="0" borderId="0" xfId="0" applyNumberFormat="1" applyFont="1" applyAlignment="1">
      <alignment vertical="center"/>
    </xf>
    <xf numFmtId="0" fontId="52" fillId="17" borderId="0" xfId="0" applyFont="1" applyFill="1" applyAlignment="1">
      <alignment vertical="center"/>
    </xf>
    <xf numFmtId="7" fontId="55" fillId="0" borderId="0" xfId="0" applyNumberFormat="1" applyFont="1" applyAlignment="1">
      <alignment vertical="center"/>
    </xf>
    <xf numFmtId="177" fontId="55" fillId="0" borderId="0" xfId="0" applyNumberFormat="1" applyFont="1" applyAlignment="1">
      <alignment vertical="center"/>
    </xf>
    <xf numFmtId="7" fontId="61" fillId="0" borderId="0" xfId="0" applyNumberFormat="1" applyFont="1" applyAlignment="1">
      <alignment vertical="center"/>
    </xf>
    <xf numFmtId="0" fontId="46" fillId="6" borderId="0" xfId="0" applyFont="1" applyFill="1" applyAlignment="1">
      <alignment vertical="center"/>
    </xf>
    <xf numFmtId="0" fontId="26" fillId="6" borderId="0" xfId="0" applyFont="1" applyFill="1" applyAlignment="1">
      <alignment vertical="center" wrapText="1"/>
    </xf>
    <xf numFmtId="0" fontId="64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165" fontId="71" fillId="0" borderId="0" xfId="2" applyFont="1" applyFill="1" applyBorder="1" applyAlignment="1" applyProtection="1">
      <alignment vertical="center"/>
    </xf>
    <xf numFmtId="0" fontId="36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174" fontId="31" fillId="0" borderId="5" xfId="2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49" fontId="72" fillId="0" borderId="0" xfId="2" applyNumberFormat="1" applyFont="1" applyAlignment="1">
      <alignment horizontal="left" vertical="center"/>
    </xf>
    <xf numFmtId="0" fontId="79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 wrapText="1"/>
    </xf>
    <xf numFmtId="0" fontId="21" fillId="0" borderId="0" xfId="5" applyFont="1" applyAlignment="1">
      <alignment vertical="center" wrapText="1"/>
    </xf>
    <xf numFmtId="0" fontId="1" fillId="0" borderId="0" xfId="5" applyAlignment="1">
      <alignment vertical="center"/>
    </xf>
    <xf numFmtId="0" fontId="1" fillId="0" borderId="0" xfId="5"/>
    <xf numFmtId="0" fontId="3" fillId="0" borderId="0" xfId="5" applyFont="1" applyAlignment="1">
      <alignment vertical="center"/>
    </xf>
    <xf numFmtId="0" fontId="72" fillId="0" borderId="0" xfId="5" applyFont="1" applyAlignment="1">
      <alignment horizontal="left" vertical="center"/>
    </xf>
    <xf numFmtId="0" fontId="80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" fillId="17" borderId="3" xfId="5" applyFill="1" applyBorder="1" applyAlignment="1">
      <alignment vertical="center"/>
    </xf>
    <xf numFmtId="0" fontId="1" fillId="17" borderId="1" xfId="5" applyFill="1" applyBorder="1" applyAlignment="1">
      <alignment vertical="center"/>
    </xf>
    <xf numFmtId="0" fontId="43" fillId="17" borderId="1" xfId="5" applyFont="1" applyFill="1" applyBorder="1" applyAlignment="1">
      <alignment horizontal="center" vertical="center"/>
    </xf>
    <xf numFmtId="0" fontId="1" fillId="17" borderId="6" xfId="5" applyFill="1" applyBorder="1" applyAlignment="1">
      <alignment vertical="center"/>
    </xf>
    <xf numFmtId="0" fontId="30" fillId="16" borderId="5" xfId="5" applyFont="1" applyFill="1" applyBorder="1" applyAlignment="1">
      <alignment horizontal="center" vertical="center" wrapText="1"/>
    </xf>
    <xf numFmtId="174" fontId="34" fillId="3" borderId="5" xfId="2" applyNumberFormat="1" applyFont="1" applyFill="1" applyBorder="1" applyAlignment="1" applyProtection="1">
      <alignment horizontal="right" vertical="center" shrinkToFit="1"/>
    </xf>
    <xf numFmtId="176" fontId="31" fillId="2" borderId="5" xfId="2" applyNumberFormat="1" applyFont="1" applyFill="1" applyBorder="1" applyAlignment="1" applyProtection="1">
      <alignment horizontal="right" vertical="center" shrinkToFit="1"/>
      <protection locked="0"/>
    </xf>
    <xf numFmtId="0" fontId="30" fillId="15" borderId="5" xfId="5" applyFont="1" applyFill="1" applyBorder="1" applyAlignment="1">
      <alignment horizontal="center" vertical="center" wrapText="1"/>
    </xf>
    <xf numFmtId="174" fontId="31" fillId="5" borderId="5" xfId="2" applyNumberFormat="1" applyFont="1" applyFill="1" applyBorder="1" applyAlignment="1" applyProtection="1">
      <alignment horizontal="right" vertical="center" shrinkToFit="1"/>
      <protection locked="0"/>
    </xf>
    <xf numFmtId="174" fontId="31" fillId="2" borderId="5" xfId="2" applyNumberFormat="1" applyFont="1" applyFill="1" applyBorder="1" applyAlignment="1" applyProtection="1">
      <alignment vertical="center" shrinkToFit="1"/>
      <protection locked="0"/>
    </xf>
    <xf numFmtId="174" fontId="31" fillId="2" borderId="12" xfId="2" applyNumberFormat="1" applyFont="1" applyFill="1" applyBorder="1" applyAlignment="1" applyProtection="1">
      <alignment vertical="center" shrinkToFit="1"/>
      <protection locked="0"/>
    </xf>
    <xf numFmtId="175" fontId="34" fillId="2" borderId="5" xfId="5" applyNumberFormat="1" applyFont="1" applyFill="1" applyBorder="1" applyAlignment="1" applyProtection="1">
      <alignment horizontal="center" vertical="center" shrinkToFit="1"/>
      <protection locked="0"/>
    </xf>
    <xf numFmtId="168" fontId="31" fillId="2" borderId="5" xfId="5" applyNumberFormat="1" applyFont="1" applyFill="1" applyBorder="1" applyAlignment="1" applyProtection="1">
      <alignment horizontal="center" vertical="center" shrinkToFit="1"/>
      <protection locked="0"/>
    </xf>
    <xf numFmtId="0" fontId="30" fillId="0" borderId="9" xfId="5" applyFont="1" applyBorder="1" applyAlignment="1">
      <alignment horizontal="center" vertical="center" wrapText="1"/>
    </xf>
    <xf numFmtId="0" fontId="31" fillId="2" borderId="5" xfId="5" applyFont="1" applyFill="1" applyBorder="1" applyAlignment="1" applyProtection="1">
      <alignment horizontal="center" vertical="center" wrapText="1"/>
      <protection locked="0"/>
    </xf>
    <xf numFmtId="0" fontId="31" fillId="2" borderId="5" xfId="5" applyFont="1" applyFill="1" applyBorder="1" applyAlignment="1" applyProtection="1">
      <alignment horizontal="center" vertical="center"/>
      <protection locked="0"/>
    </xf>
    <xf numFmtId="0" fontId="29" fillId="17" borderId="0" xfId="5" applyFont="1" applyFill="1" applyAlignment="1" applyProtection="1">
      <alignment horizontal="center" vertical="center" shrinkToFit="1"/>
      <protection hidden="1"/>
    </xf>
    <xf numFmtId="0" fontId="6" fillId="0" borderId="0" xfId="5" applyFont="1" applyAlignment="1">
      <alignment horizontal="center" vertical="center" wrapText="1"/>
    </xf>
    <xf numFmtId="49" fontId="75" fillId="0" borderId="0" xfId="0" applyNumberFormat="1" applyFont="1" applyAlignment="1">
      <alignment horizontal="left" vertical="center"/>
    </xf>
    <xf numFmtId="9" fontId="6" fillId="9" borderId="0" xfId="3" applyFont="1" applyFill="1" applyAlignment="1" applyProtection="1">
      <alignment vertical="center"/>
      <protection hidden="1"/>
    </xf>
    <xf numFmtId="0" fontId="1" fillId="9" borderId="0" xfId="0" applyFont="1" applyFill="1" applyAlignment="1" applyProtection="1">
      <alignment vertical="center"/>
      <protection hidden="1"/>
    </xf>
    <xf numFmtId="0" fontId="6" fillId="9" borderId="0" xfId="0" applyFont="1" applyFill="1" applyAlignment="1" applyProtection="1">
      <alignment vertical="center"/>
      <protection hidden="1"/>
    </xf>
    <xf numFmtId="0" fontId="35" fillId="0" borderId="5" xfId="5" applyFont="1" applyBorder="1" applyAlignment="1" applyProtection="1">
      <alignment horizontal="center" vertical="center" wrapText="1"/>
      <protection hidden="1"/>
    </xf>
    <xf numFmtId="0" fontId="30" fillId="12" borderId="5" xfId="5" applyFont="1" applyFill="1" applyBorder="1" applyAlignment="1" applyProtection="1">
      <alignment horizontal="center" vertical="center" wrapText="1"/>
      <protection hidden="1"/>
    </xf>
    <xf numFmtId="0" fontId="30" fillId="20" borderId="5" xfId="5" applyFont="1" applyFill="1" applyBorder="1" applyAlignment="1" applyProtection="1">
      <alignment horizontal="center" vertical="center" wrapText="1"/>
      <protection hidden="1"/>
    </xf>
    <xf numFmtId="0" fontId="31" fillId="17" borderId="0" xfId="5" applyFont="1" applyFill="1" applyAlignment="1" applyProtection="1">
      <alignment horizontal="center" vertical="center"/>
      <protection hidden="1"/>
    </xf>
    <xf numFmtId="0" fontId="6" fillId="0" borderId="0" xfId="5" applyFont="1" applyAlignment="1" applyProtection="1">
      <alignment vertical="center"/>
      <protection hidden="1"/>
    </xf>
    <xf numFmtId="0" fontId="31" fillId="0" borderId="5" xfId="5" applyFont="1" applyBorder="1" applyAlignment="1" applyProtection="1">
      <alignment horizontal="center" vertical="center" wrapText="1"/>
      <protection hidden="1"/>
    </xf>
    <xf numFmtId="174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3" fontId="31" fillId="3" borderId="5" xfId="2" applyNumberFormat="1" applyFont="1" applyFill="1" applyBorder="1" applyAlignment="1" applyProtection="1">
      <alignment horizontal="center" vertical="center" shrinkToFit="1"/>
      <protection hidden="1"/>
    </xf>
    <xf numFmtId="174" fontId="34" fillId="20" borderId="5" xfId="2" applyNumberFormat="1" applyFont="1" applyFill="1" applyBorder="1" applyAlignment="1" applyProtection="1">
      <alignment horizontal="center" vertical="center" shrinkToFit="1"/>
      <protection hidden="1"/>
    </xf>
    <xf numFmtId="9" fontId="31" fillId="0" borderId="5" xfId="5" applyNumberFormat="1" applyFont="1" applyBorder="1" applyAlignment="1" applyProtection="1">
      <alignment horizontal="center" vertical="center" wrapText="1"/>
      <protection hidden="1"/>
    </xf>
    <xf numFmtId="0" fontId="30" fillId="0" borderId="3" xfId="5" applyFont="1" applyBorder="1" applyAlignment="1" applyProtection="1">
      <alignment horizontal="left" vertical="center"/>
      <protection hidden="1"/>
    </xf>
    <xf numFmtId="0" fontId="30" fillId="17" borderId="1" xfId="5" applyFont="1" applyFill="1" applyBorder="1" applyAlignment="1" applyProtection="1">
      <alignment horizontal="center" vertical="center" wrapText="1"/>
      <protection hidden="1"/>
    </xf>
    <xf numFmtId="166" fontId="29" fillId="17" borderId="1" xfId="5" applyNumberFormat="1" applyFont="1" applyFill="1" applyBorder="1" applyAlignment="1" applyProtection="1">
      <alignment horizontal="center" vertical="center" shrinkToFit="1"/>
      <protection hidden="1"/>
    </xf>
    <xf numFmtId="0" fontId="29" fillId="17" borderId="1" xfId="5" applyFont="1" applyFill="1" applyBorder="1" applyAlignment="1" applyProtection="1">
      <alignment horizontal="center" vertical="center" shrinkToFit="1"/>
      <protection hidden="1"/>
    </xf>
    <xf numFmtId="0" fontId="1" fillId="17" borderId="0" xfId="5" applyFill="1" applyAlignment="1" applyProtection="1">
      <alignment vertical="center" shrinkToFit="1"/>
      <protection hidden="1"/>
    </xf>
    <xf numFmtId="0" fontId="6" fillId="17" borderId="0" xfId="5" applyFont="1" applyFill="1" applyAlignment="1" applyProtection="1">
      <alignment vertical="center" shrinkToFit="1"/>
      <protection hidden="1"/>
    </xf>
    <xf numFmtId="0" fontId="30" fillId="0" borderId="3" xfId="5" applyFont="1" applyBorder="1" applyAlignment="1" applyProtection="1">
      <alignment horizontal="left" vertical="center" wrapText="1"/>
      <protection hidden="1"/>
    </xf>
    <xf numFmtId="0" fontId="31" fillId="17" borderId="1" xfId="5" applyFont="1" applyFill="1" applyBorder="1" applyAlignment="1" applyProtection="1">
      <alignment horizontal="center" vertical="center"/>
      <protection hidden="1"/>
    </xf>
    <xf numFmtId="0" fontId="30" fillId="17" borderId="1" xfId="5" applyFont="1" applyFill="1" applyBorder="1" applyAlignment="1" applyProtection="1">
      <alignment vertical="center" wrapText="1"/>
      <protection hidden="1"/>
    </xf>
    <xf numFmtId="0" fontId="29" fillId="17" borderId="1" xfId="5" applyFont="1" applyFill="1" applyBorder="1" applyAlignment="1" applyProtection="1">
      <alignment vertical="center" shrinkToFit="1"/>
      <protection hidden="1"/>
    </xf>
    <xf numFmtId="0" fontId="6" fillId="0" borderId="0" xfId="5" applyFont="1" applyAlignment="1" applyProtection="1">
      <alignment vertical="center" shrinkToFit="1"/>
      <protection hidden="1"/>
    </xf>
    <xf numFmtId="0" fontId="35" fillId="15" borderId="5" xfId="0" applyFont="1" applyFill="1" applyBorder="1" applyAlignment="1" applyProtection="1">
      <alignment horizontal="center" vertical="center" wrapText="1"/>
      <protection hidden="1"/>
    </xf>
    <xf numFmtId="0" fontId="35" fillId="13" borderId="5" xfId="0" applyFont="1" applyFill="1" applyBorder="1" applyAlignment="1" applyProtection="1">
      <alignment horizontal="center" vertical="center" wrapText="1"/>
      <protection hidden="1"/>
    </xf>
    <xf numFmtId="0" fontId="30" fillId="15" borderId="5" xfId="0" applyFont="1" applyFill="1" applyBorder="1" applyAlignment="1" applyProtection="1">
      <alignment horizontal="center" vertical="center" wrapText="1"/>
      <protection hidden="1"/>
    </xf>
    <xf numFmtId="0" fontId="35" fillId="14" borderId="5" xfId="0" applyFont="1" applyFill="1" applyBorder="1" applyAlignment="1" applyProtection="1">
      <alignment horizontal="center" vertical="center" wrapText="1"/>
      <protection hidden="1"/>
    </xf>
    <xf numFmtId="0" fontId="30" fillId="14" borderId="5" xfId="0" applyFont="1" applyFill="1" applyBorder="1" applyAlignment="1" applyProtection="1">
      <alignment horizontal="center" vertical="center" wrapText="1"/>
      <protection hidden="1"/>
    </xf>
    <xf numFmtId="0" fontId="30" fillId="13" borderId="5" xfId="0" applyFont="1" applyFill="1" applyBorder="1" applyAlignment="1" applyProtection="1">
      <alignment horizontal="center" vertical="center" wrapText="1"/>
      <protection hidden="1"/>
    </xf>
    <xf numFmtId="174" fontId="34" fillId="3" borderId="5" xfId="2" applyNumberFormat="1" applyFont="1" applyFill="1" applyBorder="1" applyAlignment="1" applyProtection="1">
      <alignment horizontal="center" vertical="center" wrapText="1"/>
      <protection hidden="1"/>
    </xf>
    <xf numFmtId="3" fontId="31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34" fillId="17" borderId="3" xfId="0" applyFont="1" applyFill="1" applyBorder="1" applyAlignment="1" applyProtection="1">
      <alignment vertical="center" wrapText="1"/>
      <protection hidden="1"/>
    </xf>
    <xf numFmtId="0" fontId="34" fillId="17" borderId="1" xfId="0" applyFont="1" applyFill="1" applyBorder="1" applyAlignment="1" applyProtection="1">
      <alignment vertical="center" wrapText="1"/>
      <protection hidden="1"/>
    </xf>
    <xf numFmtId="0" fontId="34" fillId="17" borderId="6" xfId="0" applyFont="1" applyFill="1" applyBorder="1" applyAlignment="1" applyProtection="1">
      <alignment vertical="center" wrapText="1"/>
      <protection hidden="1"/>
    </xf>
    <xf numFmtId="0" fontId="34" fillId="0" borderId="5" xfId="0" applyFont="1" applyBorder="1" applyAlignment="1" applyProtection="1">
      <alignment horizontal="center" vertical="center" wrapText="1"/>
      <protection hidden="1"/>
    </xf>
    <xf numFmtId="0" fontId="30" fillId="0" borderId="5" xfId="0" applyFont="1" applyBorder="1" applyAlignment="1" applyProtection="1">
      <alignment horizontal="center" vertical="center" wrapText="1"/>
      <protection hidden="1"/>
    </xf>
    <xf numFmtId="0" fontId="35" fillId="0" borderId="3" xfId="0" applyFont="1" applyBorder="1" applyAlignment="1" applyProtection="1">
      <alignment horizontal="center" vertical="center" wrapText="1"/>
      <protection hidden="1"/>
    </xf>
    <xf numFmtId="174" fontId="3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168" fontId="30" fillId="4" borderId="6" xfId="0" applyNumberFormat="1" applyFont="1" applyFill="1" applyBorder="1" applyAlignment="1" applyProtection="1">
      <alignment horizontal="center" vertical="center" shrinkToFit="1"/>
      <protection hidden="1"/>
    </xf>
    <xf numFmtId="170" fontId="30" fillId="0" borderId="2" xfId="0" applyNumberFormat="1" applyFont="1" applyBorder="1" applyAlignment="1" applyProtection="1">
      <alignment horizontal="center" vertical="center" wrapText="1"/>
      <protection hidden="1"/>
    </xf>
    <xf numFmtId="166" fontId="31" fillId="0" borderId="0" xfId="0" applyNumberFormat="1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1" fillId="0" borderId="1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horizontal="center" vertical="center"/>
      <protection hidden="1"/>
    </xf>
    <xf numFmtId="1" fontId="3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1" fillId="0" borderId="6" xfId="0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 wrapText="1"/>
      <protection hidden="1"/>
    </xf>
    <xf numFmtId="0" fontId="31" fillId="0" borderId="3" xfId="0" applyFont="1" applyBorder="1" applyAlignment="1" applyProtection="1">
      <alignment horizontal="center" vertical="center" wrapText="1"/>
      <protection hidden="1"/>
    </xf>
    <xf numFmtId="166" fontId="31" fillId="0" borderId="1" xfId="0" applyNumberFormat="1" applyFont="1" applyBorder="1" applyAlignment="1" applyProtection="1">
      <alignment horizontal="center" vertical="center" wrapText="1"/>
      <protection hidden="1"/>
    </xf>
    <xf numFmtId="174" fontId="30" fillId="18" borderId="17" xfId="2" applyNumberFormat="1" applyFont="1" applyFill="1" applyBorder="1" applyAlignment="1" applyProtection="1">
      <alignment horizontal="right" vertical="center" wrapText="1"/>
      <protection hidden="1"/>
    </xf>
    <xf numFmtId="174" fontId="30" fillId="18" borderId="17" xfId="2" applyNumberFormat="1" applyFont="1" applyFill="1" applyBorder="1" applyAlignment="1" applyProtection="1">
      <alignment horizontal="right" vertical="center" shrinkToFit="1"/>
      <protection hidden="1"/>
    </xf>
    <xf numFmtId="10" fontId="30" fillId="18" borderId="17" xfId="3" applyNumberFormat="1" applyFont="1" applyFill="1" applyBorder="1" applyAlignment="1" applyProtection="1">
      <alignment horizontal="center" vertical="center" shrinkToFit="1"/>
      <protection hidden="1"/>
    </xf>
    <xf numFmtId="0" fontId="30" fillId="0" borderId="3" xfId="0" applyFont="1" applyBorder="1" applyAlignment="1" applyProtection="1">
      <alignment horizontal="center" vertical="center" wrapText="1"/>
      <protection hidden="1"/>
    </xf>
    <xf numFmtId="49" fontId="31" fillId="3" borderId="5" xfId="0" applyNumberFormat="1" applyFont="1" applyFill="1" applyBorder="1" applyAlignment="1" applyProtection="1">
      <alignment horizontal="center" vertical="center" wrapText="1"/>
      <protection hidden="1"/>
    </xf>
    <xf numFmtId="174" fontId="31" fillId="3" borderId="5" xfId="2" applyNumberFormat="1" applyFont="1" applyFill="1" applyBorder="1" applyAlignment="1" applyProtection="1">
      <alignment horizontal="right" vertical="center" wrapText="1"/>
      <protection hidden="1"/>
    </xf>
    <xf numFmtId="174" fontId="31" fillId="3" borderId="6" xfId="2" applyNumberFormat="1" applyFont="1" applyFill="1" applyBorder="1" applyAlignment="1" applyProtection="1">
      <alignment horizontal="right" vertical="center" wrapText="1"/>
      <protection hidden="1"/>
    </xf>
    <xf numFmtId="174" fontId="31" fillId="3" borderId="5" xfId="2" applyNumberFormat="1" applyFont="1" applyFill="1" applyBorder="1" applyAlignment="1" applyProtection="1">
      <alignment horizontal="right" vertical="center" shrinkToFit="1"/>
      <protection hidden="1"/>
    </xf>
    <xf numFmtId="10" fontId="31" fillId="3" borderId="5" xfId="3" applyNumberFormat="1" applyFont="1" applyFill="1" applyBorder="1" applyAlignment="1" applyProtection="1">
      <alignment horizontal="center" vertical="center" shrinkToFit="1"/>
      <protection hidden="1"/>
    </xf>
    <xf numFmtId="174" fontId="31" fillId="3" borderId="11" xfId="2" applyNumberFormat="1" applyFont="1" applyFill="1" applyBorder="1" applyAlignment="1" applyProtection="1">
      <alignment horizontal="right" vertical="center" shrinkToFit="1"/>
      <protection hidden="1"/>
    </xf>
    <xf numFmtId="174" fontId="31" fillId="3" borderId="7" xfId="2" applyNumberFormat="1" applyFont="1" applyFill="1" applyBorder="1" applyAlignment="1" applyProtection="1">
      <alignment horizontal="right" vertical="center" shrinkToFit="1"/>
      <protection hidden="1"/>
    </xf>
    <xf numFmtId="49" fontId="31" fillId="3" borderId="23" xfId="0" applyNumberFormat="1" applyFont="1" applyFill="1" applyBorder="1" applyAlignment="1" applyProtection="1">
      <alignment horizontal="center" vertical="center" wrapText="1"/>
      <protection hidden="1"/>
    </xf>
    <xf numFmtId="174" fontId="31" fillId="3" borderId="23" xfId="2" applyNumberFormat="1" applyFont="1" applyFill="1" applyBorder="1" applyAlignment="1" applyProtection="1">
      <alignment horizontal="right" vertical="center" wrapText="1"/>
      <protection hidden="1"/>
    </xf>
    <xf numFmtId="174" fontId="31" fillId="3" borderId="24" xfId="2" applyNumberFormat="1" applyFont="1" applyFill="1" applyBorder="1" applyAlignment="1" applyProtection="1">
      <alignment horizontal="right" vertical="center" wrapText="1"/>
      <protection hidden="1"/>
    </xf>
    <xf numFmtId="174" fontId="31" fillId="3" borderId="22" xfId="2" applyNumberFormat="1" applyFont="1" applyFill="1" applyBorder="1" applyAlignment="1" applyProtection="1">
      <alignment horizontal="right" vertical="center" shrinkToFit="1"/>
      <protection hidden="1"/>
    </xf>
    <xf numFmtId="174" fontId="34" fillId="3" borderId="5" xfId="2" applyNumberFormat="1" applyFont="1" applyFill="1" applyBorder="1" applyAlignment="1" applyProtection="1">
      <alignment horizontal="right" vertical="center" wrapText="1"/>
      <protection hidden="1"/>
    </xf>
    <xf numFmtId="174" fontId="34" fillId="3" borderId="12" xfId="2" applyNumberFormat="1" applyFont="1" applyFill="1" applyBorder="1" applyAlignment="1" applyProtection="1">
      <alignment horizontal="right" vertical="center" wrapText="1"/>
      <protection hidden="1"/>
    </xf>
    <xf numFmtId="174" fontId="30" fillId="4" borderId="20" xfId="2" applyNumberFormat="1" applyFont="1" applyFill="1" applyBorder="1" applyAlignment="1" applyProtection="1">
      <alignment vertical="center" wrapText="1"/>
      <protection hidden="1"/>
    </xf>
    <xf numFmtId="174" fontId="30" fillId="4" borderId="17" xfId="2" applyNumberFormat="1" applyFont="1" applyFill="1" applyBorder="1" applyAlignment="1" applyProtection="1">
      <alignment vertical="center" wrapText="1"/>
      <protection hidden="1"/>
    </xf>
    <xf numFmtId="174" fontId="30" fillId="4" borderId="17" xfId="2" applyNumberFormat="1" applyFont="1" applyFill="1" applyBorder="1" applyAlignment="1" applyProtection="1">
      <alignment vertical="center" shrinkToFit="1"/>
      <protection hidden="1"/>
    </xf>
    <xf numFmtId="172" fontId="30" fillId="3" borderId="17" xfId="2" applyNumberFormat="1" applyFont="1" applyFill="1" applyBorder="1" applyAlignment="1" applyProtection="1">
      <alignment horizontal="right" vertical="center" wrapText="1"/>
      <protection hidden="1"/>
    </xf>
    <xf numFmtId="168" fontId="31" fillId="3" borderId="5" xfId="5" applyNumberFormat="1" applyFont="1" applyFill="1" applyBorder="1" applyAlignment="1" applyProtection="1">
      <alignment horizontal="center" vertical="center"/>
      <protection hidden="1"/>
    </xf>
    <xf numFmtId="173" fontId="31" fillId="3" borderId="5" xfId="2" applyNumberFormat="1" applyFont="1" applyFill="1" applyBorder="1" applyAlignment="1" applyProtection="1">
      <alignment horizontal="center" vertical="center" wrapText="1"/>
      <protection hidden="1"/>
    </xf>
    <xf numFmtId="49" fontId="72" fillId="0" borderId="0" xfId="2" applyNumberFormat="1" applyFont="1" applyAlignment="1" applyProtection="1">
      <alignment horizontal="left" vertical="center"/>
      <protection hidden="1"/>
    </xf>
    <xf numFmtId="10" fontId="30" fillId="0" borderId="0" xfId="3" applyNumberFormat="1" applyFont="1" applyFill="1" applyBorder="1" applyAlignment="1" applyProtection="1">
      <alignment horizontal="left" vertical="center" shrinkToFit="1"/>
      <protection hidden="1"/>
    </xf>
    <xf numFmtId="167" fontId="12" fillId="0" borderId="0" xfId="3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9" fillId="0" borderId="0" xfId="5" applyFont="1" applyAlignment="1" applyProtection="1">
      <alignment vertical="center"/>
      <protection hidden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5" applyAlignment="1" applyProtection="1">
      <alignment vertical="center"/>
      <protection locked="0"/>
    </xf>
    <xf numFmtId="0" fontId="3" fillId="0" borderId="0" xfId="5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5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5" fillId="10" borderId="5" xfId="0" applyFont="1" applyFill="1" applyBorder="1" applyAlignment="1" applyProtection="1">
      <alignment horizontal="center" vertical="center" wrapText="1"/>
      <protection hidden="1"/>
    </xf>
    <xf numFmtId="0" fontId="34" fillId="0" borderId="5" xfId="5" applyFont="1" applyBorder="1" applyAlignment="1" applyProtection="1">
      <alignment horizontal="center" vertical="center" wrapText="1"/>
      <protection hidden="1"/>
    </xf>
    <xf numFmtId="182" fontId="31" fillId="3" borderId="5" xfId="2" applyNumberFormat="1" applyFont="1" applyFill="1" applyBorder="1" applyAlignment="1" applyProtection="1">
      <alignment horizontal="center" vertical="center" shrinkToFit="1"/>
      <protection hidden="1"/>
    </xf>
    <xf numFmtId="165" fontId="31" fillId="3" borderId="3" xfId="2" applyFont="1" applyFill="1" applyBorder="1" applyAlignment="1" applyProtection="1">
      <alignment horizontal="right" vertical="center" shrinkToFit="1"/>
      <protection hidden="1"/>
    </xf>
    <xf numFmtId="165" fontId="31" fillId="3" borderId="6" xfId="2" applyFont="1" applyFill="1" applyBorder="1" applyAlignment="1" applyProtection="1">
      <alignment horizontal="center" vertical="center" shrinkToFit="1"/>
      <protection hidden="1"/>
    </xf>
    <xf numFmtId="177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177" fontId="34" fillId="20" borderId="5" xfId="2" applyNumberFormat="1" applyFont="1" applyFill="1" applyBorder="1" applyAlignment="1" applyProtection="1">
      <alignment horizontal="center" vertical="center" shrinkToFit="1"/>
      <protection hidden="1"/>
    </xf>
    <xf numFmtId="9" fontId="34" fillId="0" borderId="5" xfId="3" applyFont="1" applyBorder="1" applyAlignment="1" applyProtection="1">
      <alignment horizontal="center" vertical="center" wrapText="1"/>
      <protection hidden="1"/>
    </xf>
    <xf numFmtId="0" fontId="49" fillId="0" borderId="5" xfId="5" applyFont="1" applyBorder="1" applyAlignment="1" applyProtection="1">
      <alignment horizontal="center" vertical="center" wrapText="1"/>
      <protection hidden="1"/>
    </xf>
    <xf numFmtId="182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177" fontId="31" fillId="3" borderId="5" xfId="2" applyNumberFormat="1" applyFont="1" applyFill="1" applyBorder="1" applyAlignment="1" applyProtection="1">
      <alignment horizontal="center" vertical="center" shrinkToFit="1"/>
      <protection hidden="1"/>
    </xf>
    <xf numFmtId="177" fontId="34" fillId="0" borderId="5" xfId="5" applyNumberFormat="1" applyFont="1" applyBorder="1" applyAlignment="1" applyProtection="1">
      <alignment horizontal="center" vertical="center" wrapText="1"/>
      <protection hidden="1"/>
    </xf>
    <xf numFmtId="9" fontId="34" fillId="0" borderId="9" xfId="3" applyFont="1" applyBorder="1" applyAlignment="1" applyProtection="1">
      <alignment horizontal="center" vertical="center" wrapText="1"/>
      <protection hidden="1"/>
    </xf>
    <xf numFmtId="182" fontId="34" fillId="3" borderId="9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3" xfId="0" applyFont="1" applyBorder="1" applyAlignment="1" applyProtection="1">
      <alignment horizontal="left" vertical="center" wrapText="1"/>
      <protection hidden="1"/>
    </xf>
    <xf numFmtId="0" fontId="35" fillId="10" borderId="5" xfId="5" applyFont="1" applyFill="1" applyBorder="1" applyAlignment="1" applyProtection="1">
      <alignment horizontal="center" vertical="center" wrapText="1"/>
      <protection hidden="1"/>
    </xf>
    <xf numFmtId="0" fontId="30" fillId="10" borderId="5" xfId="5" applyFont="1" applyFill="1" applyBorder="1" applyAlignment="1" applyProtection="1">
      <alignment horizontal="center" vertical="center" wrapText="1"/>
      <protection hidden="1"/>
    </xf>
    <xf numFmtId="0" fontId="35" fillId="20" borderId="5" xfId="5" applyFont="1" applyFill="1" applyBorder="1" applyAlignment="1" applyProtection="1">
      <alignment horizontal="center" vertical="center" wrapText="1"/>
      <protection hidden="1"/>
    </xf>
    <xf numFmtId="0" fontId="35" fillId="0" borderId="3" xfId="5" applyFont="1" applyBorder="1" applyAlignment="1" applyProtection="1">
      <alignment vertical="center"/>
      <protection hidden="1"/>
    </xf>
    <xf numFmtId="0" fontId="55" fillId="0" borderId="1" xfId="5" applyFont="1" applyBorder="1" applyAlignment="1" applyProtection="1">
      <alignment vertical="center"/>
      <protection hidden="1"/>
    </xf>
    <xf numFmtId="0" fontId="52" fillId="17" borderId="0" xfId="5" applyFont="1" applyFill="1" applyAlignment="1" applyProtection="1">
      <alignment horizontal="center" vertical="center"/>
      <protection hidden="1"/>
    </xf>
    <xf numFmtId="0" fontId="55" fillId="17" borderId="0" xfId="5" applyFont="1" applyFill="1" applyAlignment="1" applyProtection="1">
      <alignment horizontal="center" vertical="center"/>
      <protection hidden="1"/>
    </xf>
    <xf numFmtId="0" fontId="52" fillId="17" borderId="0" xfId="5" applyFont="1" applyFill="1" applyAlignment="1" applyProtection="1">
      <alignment vertical="center"/>
      <protection hidden="1"/>
    </xf>
    <xf numFmtId="9" fontId="31" fillId="0" borderId="3" xfId="3" applyFont="1" applyBorder="1" applyAlignment="1" applyProtection="1">
      <alignment horizontal="center" vertical="center" wrapText="1"/>
      <protection hidden="1"/>
    </xf>
    <xf numFmtId="10" fontId="31" fillId="0" borderId="5" xfId="3" applyNumberFormat="1" applyFont="1" applyBorder="1" applyAlignment="1" applyProtection="1">
      <alignment horizontal="center" vertical="center" wrapText="1"/>
      <protection hidden="1"/>
    </xf>
    <xf numFmtId="9" fontId="31" fillId="0" borderId="5" xfId="3" applyFont="1" applyBorder="1" applyAlignment="1" applyProtection="1">
      <alignment horizontal="center" vertical="center" wrapText="1"/>
      <protection hidden="1"/>
    </xf>
    <xf numFmtId="0" fontId="35" fillId="0" borderId="14" xfId="5" applyFont="1" applyBorder="1" applyAlignment="1" applyProtection="1">
      <alignment vertical="center"/>
      <protection hidden="1"/>
    </xf>
    <xf numFmtId="0" fontId="55" fillId="17" borderId="4" xfId="5" applyFont="1" applyFill="1" applyBorder="1" applyAlignment="1" applyProtection="1">
      <alignment vertical="center"/>
      <protection hidden="1"/>
    </xf>
    <xf numFmtId="0" fontId="52" fillId="17" borderId="0" xfId="5" applyFont="1" applyFill="1" applyAlignment="1" applyProtection="1">
      <alignment horizontal="center" vertical="center" shrinkToFit="1"/>
      <protection hidden="1"/>
    </xf>
    <xf numFmtId="0" fontId="55" fillId="17" borderId="0" xfId="5" applyFont="1" applyFill="1" applyAlignment="1" applyProtection="1">
      <alignment horizontal="right" vertical="center" shrinkToFit="1"/>
      <protection hidden="1"/>
    </xf>
    <xf numFmtId="0" fontId="52" fillId="17" borderId="0" xfId="5" applyFont="1" applyFill="1" applyAlignment="1" applyProtection="1">
      <alignment vertical="center" shrinkToFit="1"/>
      <protection hidden="1"/>
    </xf>
    <xf numFmtId="0" fontId="55" fillId="17" borderId="0" xfId="5" applyFont="1" applyFill="1" applyAlignment="1" applyProtection="1">
      <alignment horizontal="center" vertical="center" shrinkToFit="1"/>
      <protection hidden="1"/>
    </xf>
    <xf numFmtId="0" fontId="35" fillId="0" borderId="14" xfId="5" applyFont="1" applyBorder="1" applyAlignment="1" applyProtection="1">
      <alignment horizontal="left" vertical="center"/>
      <protection hidden="1"/>
    </xf>
    <xf numFmtId="0" fontId="55" fillId="17" borderId="4" xfId="5" applyFont="1" applyFill="1" applyBorder="1" applyAlignment="1" applyProtection="1">
      <alignment vertical="center" shrinkToFit="1"/>
      <protection hidden="1"/>
    </xf>
    <xf numFmtId="0" fontId="35" fillId="17" borderId="3" xfId="5" applyFont="1" applyFill="1" applyBorder="1" applyAlignment="1" applyProtection="1">
      <alignment horizontal="left" vertical="center" wrapText="1"/>
      <protection hidden="1"/>
    </xf>
    <xf numFmtId="0" fontId="35" fillId="17" borderId="0" xfId="5" applyFont="1" applyFill="1" applyAlignment="1" applyProtection="1">
      <alignment vertical="center"/>
      <protection hidden="1"/>
    </xf>
    <xf numFmtId="0" fontId="55" fillId="17" borderId="1" xfId="5" applyFont="1" applyFill="1" applyBorder="1" applyAlignment="1" applyProtection="1">
      <alignment vertical="center" shrinkToFit="1"/>
      <protection hidden="1"/>
    </xf>
    <xf numFmtId="0" fontId="55" fillId="17" borderId="19" xfId="5" applyFont="1" applyFill="1" applyBorder="1" applyAlignment="1" applyProtection="1">
      <alignment horizontal="center" vertical="center" shrinkToFit="1"/>
      <protection hidden="1"/>
    </xf>
    <xf numFmtId="0" fontId="55" fillId="0" borderId="0" xfId="0" applyFont="1" applyAlignment="1" applyProtection="1">
      <alignment vertical="center"/>
      <protection hidden="1"/>
    </xf>
    <xf numFmtId="182" fontId="68" fillId="0" borderId="0" xfId="0" applyNumberFormat="1" applyFont="1" applyAlignment="1" applyProtection="1">
      <alignment vertical="center"/>
      <protection hidden="1"/>
    </xf>
    <xf numFmtId="182" fontId="55" fillId="0" borderId="0" xfId="0" applyNumberFormat="1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34" fillId="0" borderId="0" xfId="5" applyFont="1" applyAlignment="1" applyProtection="1">
      <alignment vertical="center"/>
      <protection hidden="1"/>
    </xf>
    <xf numFmtId="0" fontId="31" fillId="0" borderId="0" xfId="5" applyFont="1" applyAlignment="1" applyProtection="1">
      <alignment vertical="center"/>
      <protection hidden="1"/>
    </xf>
    <xf numFmtId="0" fontId="59" fillId="0" borderId="0" xfId="0" applyFont="1" applyAlignment="1" applyProtection="1">
      <alignment horizontal="center" vertical="center" wrapText="1"/>
      <protection hidden="1"/>
    </xf>
    <xf numFmtId="9" fontId="52" fillId="0" borderId="0" xfId="3" applyFont="1" applyFill="1" applyBorder="1" applyAlignment="1" applyProtection="1">
      <alignment horizontal="center" vertical="center" wrapText="1"/>
      <protection hidden="1"/>
    </xf>
    <xf numFmtId="166" fontId="52" fillId="0" borderId="0" xfId="2" applyNumberFormat="1" applyFont="1" applyFill="1" applyBorder="1" applyAlignment="1" applyProtection="1">
      <alignment horizontal="center" vertical="center" wrapText="1"/>
      <protection hidden="1"/>
    </xf>
    <xf numFmtId="165" fontId="37" fillId="0" borderId="0" xfId="2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 applyProtection="1">
      <alignment vertical="center" wrapText="1"/>
      <protection hidden="1"/>
    </xf>
    <xf numFmtId="0" fontId="53" fillId="0" borderId="0" xfId="0" applyFont="1" applyAlignment="1" applyProtection="1">
      <alignment vertical="center"/>
      <protection hidden="1"/>
    </xf>
    <xf numFmtId="0" fontId="68" fillId="0" borderId="0" xfId="0" applyFont="1" applyAlignment="1" applyProtection="1">
      <alignment vertical="center"/>
      <protection hidden="1"/>
    </xf>
    <xf numFmtId="10" fontId="31" fillId="21" borderId="5" xfId="3" applyNumberFormat="1" applyFont="1" applyFill="1" applyBorder="1" applyAlignment="1" applyProtection="1">
      <alignment horizontal="center" vertical="center" shrinkToFit="1"/>
    </xf>
    <xf numFmtId="10" fontId="35" fillId="19" borderId="17" xfId="3" applyNumberFormat="1" applyFont="1" applyFill="1" applyBorder="1" applyAlignment="1" applyProtection="1">
      <alignment horizontal="center" vertical="center" shrinkToFit="1"/>
    </xf>
    <xf numFmtId="0" fontId="35" fillId="0" borderId="3" xfId="0" applyFont="1" applyBorder="1" applyAlignment="1" applyProtection="1">
      <alignment horizontal="center" vertical="center" shrinkToFit="1"/>
      <protection hidden="1"/>
    </xf>
    <xf numFmtId="0" fontId="30" fillId="0" borderId="5" xfId="0" applyFont="1" applyBorder="1" applyAlignment="1" applyProtection="1">
      <alignment horizontal="center" vertical="center" shrinkToFit="1"/>
      <protection hidden="1"/>
    </xf>
    <xf numFmtId="0" fontId="31" fillId="3" borderId="5" xfId="0" applyFont="1" applyFill="1" applyBorder="1" applyAlignment="1" applyProtection="1">
      <alignment horizontal="center" vertical="center" shrinkToFit="1"/>
      <protection hidden="1"/>
    </xf>
    <xf numFmtId="0" fontId="31" fillId="3" borderId="1" xfId="0" applyFont="1" applyFill="1" applyBorder="1" applyAlignment="1" applyProtection="1">
      <alignment horizontal="center" vertical="center" shrinkToFit="1"/>
      <protection hidden="1"/>
    </xf>
    <xf numFmtId="175" fontId="30" fillId="19" borderId="5" xfId="0" applyNumberFormat="1" applyFont="1" applyFill="1" applyBorder="1" applyAlignment="1" applyProtection="1">
      <alignment horizontal="center" vertical="center" shrinkToFit="1"/>
      <protection hidden="1"/>
    </xf>
    <xf numFmtId="0" fontId="52" fillId="0" borderId="0" xfId="0" applyFont="1" applyAlignment="1" applyProtection="1">
      <alignment vertical="center" shrinkToFit="1"/>
      <protection hidden="1"/>
    </xf>
    <xf numFmtId="0" fontId="55" fillId="0" borderId="0" xfId="0" applyFont="1" applyAlignment="1" applyProtection="1">
      <alignment vertical="center" shrinkToFit="1"/>
      <protection hidden="1"/>
    </xf>
    <xf numFmtId="1" fontId="31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horizontal="center" vertical="center" shrinkToFit="1"/>
      <protection hidden="1"/>
    </xf>
    <xf numFmtId="0" fontId="31" fillId="0" borderId="7" xfId="0" applyFont="1" applyBorder="1" applyAlignment="1" applyProtection="1">
      <alignment horizontal="center" vertical="center" shrinkToFit="1"/>
      <protection hidden="1"/>
    </xf>
    <xf numFmtId="5" fontId="34" fillId="2" borderId="5" xfId="2" applyNumberFormat="1" applyFont="1" applyFill="1" applyBorder="1" applyAlignment="1" applyProtection="1">
      <alignment horizontal="right" vertical="center" shrinkToFit="1"/>
      <protection locked="0"/>
    </xf>
    <xf numFmtId="175" fontId="34" fillId="2" borderId="5" xfId="0" applyNumberFormat="1" applyFont="1" applyFill="1" applyBorder="1" applyAlignment="1" applyProtection="1">
      <alignment horizontal="center" vertical="center" shrinkToFit="1"/>
      <protection locked="0"/>
    </xf>
    <xf numFmtId="5" fontId="34" fillId="2" borderId="12" xfId="2" applyNumberFormat="1" applyFont="1" applyFill="1" applyBorder="1" applyAlignment="1" applyProtection="1">
      <alignment horizontal="right" vertical="center" shrinkToFit="1"/>
      <protection locked="0"/>
    </xf>
    <xf numFmtId="175" fontId="34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5" xfId="0" applyFont="1" applyFill="1" applyBorder="1" applyAlignment="1" applyProtection="1">
      <alignment horizontal="center" vertical="center" shrinkToFit="1"/>
      <protection locked="0"/>
    </xf>
    <xf numFmtId="0" fontId="31" fillId="2" borderId="5" xfId="0" applyFont="1" applyFill="1" applyBorder="1" applyAlignment="1" applyProtection="1">
      <alignment horizontal="center" vertical="center" shrinkToFit="1"/>
      <protection locked="0"/>
    </xf>
    <xf numFmtId="49" fontId="34" fillId="3" borderId="9" xfId="0" applyNumberFormat="1" applyFont="1" applyFill="1" applyBorder="1" applyAlignment="1" applyProtection="1">
      <alignment horizontal="center" vertical="center" shrinkToFit="1"/>
      <protection hidden="1"/>
    </xf>
    <xf numFmtId="181" fontId="34" fillId="3" borderId="22" xfId="7" applyNumberFormat="1" applyFont="1" applyFill="1" applyBorder="1" applyAlignment="1" applyProtection="1">
      <alignment horizontal="center" vertical="center" shrinkToFit="1"/>
      <protection hidden="1"/>
    </xf>
    <xf numFmtId="177" fontId="34" fillId="3" borderId="10" xfId="2" applyNumberFormat="1" applyFont="1" applyFill="1" applyBorder="1" applyAlignment="1" applyProtection="1">
      <alignment horizontal="right" vertical="center" shrinkToFit="1"/>
      <protection hidden="1"/>
    </xf>
    <xf numFmtId="181" fontId="34" fillId="3" borderId="5" xfId="7" applyNumberFormat="1" applyFont="1" applyFill="1" applyBorder="1" applyAlignment="1" applyProtection="1">
      <alignment horizontal="center" vertical="center" shrinkToFit="1"/>
      <protection hidden="1"/>
    </xf>
    <xf numFmtId="49" fontId="34" fillId="3" borderId="5" xfId="0" applyNumberFormat="1" applyFont="1" applyFill="1" applyBorder="1" applyAlignment="1" applyProtection="1">
      <alignment horizontal="center" vertical="center" shrinkToFit="1"/>
      <protection hidden="1"/>
    </xf>
    <xf numFmtId="177" fontId="34" fillId="3" borderId="9" xfId="2" applyNumberFormat="1" applyFont="1" applyFill="1" applyBorder="1" applyAlignment="1" applyProtection="1">
      <alignment horizontal="right" vertical="center" shrinkToFit="1"/>
      <protection hidden="1"/>
    </xf>
    <xf numFmtId="181" fontId="35" fillId="19" borderId="17" xfId="7" applyNumberFormat="1" applyFont="1" applyFill="1" applyBorder="1" applyAlignment="1" applyProtection="1">
      <alignment horizontal="center" vertical="center" shrinkToFit="1"/>
      <protection hidden="1"/>
    </xf>
    <xf numFmtId="5" fontId="35" fillId="19" borderId="17" xfId="3" applyNumberFormat="1" applyFont="1" applyFill="1" applyBorder="1" applyAlignment="1" applyProtection="1">
      <alignment horizontal="right" vertical="center" shrinkToFit="1"/>
      <protection hidden="1"/>
    </xf>
    <xf numFmtId="183" fontId="31" fillId="5" borderId="5" xfId="2" applyNumberFormat="1" applyFont="1" applyFill="1" applyBorder="1" applyAlignment="1" applyProtection="1">
      <alignment horizontal="center" vertical="center"/>
      <protection locked="0"/>
    </xf>
    <xf numFmtId="0" fontId="69" fillId="0" borderId="0" xfId="0" applyFont="1" applyAlignment="1" applyProtection="1">
      <alignment vertical="center"/>
      <protection hidden="1"/>
    </xf>
    <xf numFmtId="0" fontId="82" fillId="0" borderId="0" xfId="5" applyFont="1"/>
    <xf numFmtId="0" fontId="72" fillId="0" borderId="0" xfId="5" applyFont="1"/>
    <xf numFmtId="5" fontId="31" fillId="21" borderId="5" xfId="2" applyNumberFormat="1" applyFont="1" applyFill="1" applyBorder="1" applyAlignment="1" applyProtection="1">
      <alignment horizontal="center" vertical="center" shrinkToFit="1"/>
    </xf>
    <xf numFmtId="5" fontId="31" fillId="2" borderId="5" xfId="2" applyNumberFormat="1" applyFont="1" applyFill="1" applyBorder="1" applyAlignment="1" applyProtection="1">
      <alignment horizontal="right" vertical="center" shrinkToFit="1"/>
      <protection locked="0"/>
    </xf>
    <xf numFmtId="182" fontId="30" fillId="19" borderId="17" xfId="2" applyNumberFormat="1" applyFont="1" applyFill="1" applyBorder="1" applyAlignment="1" applyProtection="1">
      <alignment horizontal="right" vertical="center" shrinkToFit="1"/>
    </xf>
    <xf numFmtId="0" fontId="39" fillId="0" borderId="0" xfId="0" applyFont="1" applyAlignment="1">
      <alignment horizontal="right" vertical="center"/>
    </xf>
    <xf numFmtId="0" fontId="35" fillId="3" borderId="12" xfId="0" applyFont="1" applyFill="1" applyBorder="1" applyAlignment="1">
      <alignment horizontal="center" vertical="center" wrapText="1"/>
    </xf>
    <xf numFmtId="10" fontId="34" fillId="3" borderId="5" xfId="3" applyNumberFormat="1" applyFont="1" applyFill="1" applyBorder="1" applyAlignment="1" applyProtection="1">
      <alignment horizontal="center" vertical="center" shrinkToFit="1"/>
    </xf>
    <xf numFmtId="5" fontId="34" fillId="3" borderId="3" xfId="2" applyNumberFormat="1" applyFont="1" applyFill="1" applyBorder="1" applyAlignment="1" applyProtection="1">
      <alignment horizontal="right" vertical="center" shrinkToFit="1"/>
    </xf>
    <xf numFmtId="5" fontId="34" fillId="3" borderId="6" xfId="2" applyNumberFormat="1" applyFont="1" applyFill="1" applyBorder="1" applyAlignment="1" applyProtection="1">
      <alignment horizontal="right" vertical="center" shrinkToFit="1"/>
    </xf>
    <xf numFmtId="5" fontId="34" fillId="3" borderId="5" xfId="2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41" fillId="6" borderId="0" xfId="0" applyFont="1" applyFill="1" applyAlignment="1" applyProtection="1">
      <alignment horizontal="left" vertical="center"/>
      <protection hidden="1"/>
    </xf>
    <xf numFmtId="0" fontId="55" fillId="6" borderId="0" xfId="0" applyFont="1" applyFill="1" applyAlignment="1" applyProtection="1">
      <alignment horizontal="left" vertical="center"/>
      <protection hidden="1"/>
    </xf>
    <xf numFmtId="177" fontId="34" fillId="3" borderId="0" xfId="2" applyNumberFormat="1" applyFont="1" applyFill="1" applyBorder="1" applyAlignment="1" applyProtection="1">
      <alignment vertical="center" shrinkToFit="1"/>
      <protection hidden="1"/>
    </xf>
    <xf numFmtId="177" fontId="34" fillId="3" borderId="0" xfId="2" applyNumberFormat="1" applyFont="1" applyFill="1" applyBorder="1" applyAlignment="1" applyProtection="1">
      <alignment horizontal="right" vertical="center" shrinkToFit="1"/>
      <protection hidden="1"/>
    </xf>
    <xf numFmtId="9" fontId="34" fillId="3" borderId="0" xfId="3" applyFont="1" applyFill="1" applyBorder="1" applyAlignment="1" applyProtection="1">
      <alignment horizontal="center" vertical="center" shrinkToFit="1"/>
      <protection hidden="1"/>
    </xf>
    <xf numFmtId="177" fontId="31" fillId="21" borderId="0" xfId="2" applyNumberFormat="1" applyFont="1" applyFill="1" applyBorder="1" applyAlignment="1" applyProtection="1">
      <alignment horizontal="center" vertical="center" shrinkToFit="1"/>
    </xf>
    <xf numFmtId="177" fontId="34" fillId="3" borderId="12" xfId="2" applyNumberFormat="1" applyFont="1" applyFill="1" applyBorder="1" applyAlignment="1" applyProtection="1">
      <alignment horizontal="right" vertical="center" shrinkToFit="1"/>
      <protection hidden="1"/>
    </xf>
    <xf numFmtId="177" fontId="34" fillId="3" borderId="7" xfId="2" applyNumberFormat="1" applyFont="1" applyFill="1" applyBorder="1" applyAlignment="1" applyProtection="1">
      <alignment horizontal="right" vertical="center" shrinkToFit="1"/>
      <protection hidden="1"/>
    </xf>
    <xf numFmtId="0" fontId="51" fillId="0" borderId="0" xfId="5" applyFont="1" applyAlignment="1" applyProtection="1">
      <alignment vertical="center"/>
      <protection hidden="1"/>
    </xf>
    <xf numFmtId="0" fontId="51" fillId="17" borderId="0" xfId="5" applyFont="1" applyFill="1" applyAlignment="1" applyProtection="1">
      <alignment horizontal="left" vertical="center" wrapText="1"/>
      <protection hidden="1"/>
    </xf>
    <xf numFmtId="0" fontId="67" fillId="17" borderId="0" xfId="5" applyFont="1" applyFill="1" applyAlignment="1" applyProtection="1">
      <alignment horizontal="left" vertical="center" wrapText="1"/>
      <protection hidden="1"/>
    </xf>
    <xf numFmtId="0" fontId="51" fillId="17" borderId="0" xfId="5" applyFont="1" applyFill="1" applyAlignment="1" applyProtection="1">
      <alignment vertical="center"/>
      <protection hidden="1"/>
    </xf>
    <xf numFmtId="0" fontId="53" fillId="17" borderId="0" xfId="5" applyFont="1" applyFill="1" applyAlignment="1" applyProtection="1">
      <alignment vertical="center"/>
      <protection hidden="1"/>
    </xf>
    <xf numFmtId="0" fontId="53" fillId="17" borderId="0" xfId="5" applyFont="1" applyFill="1" applyAlignment="1" applyProtection="1">
      <alignment vertical="center" wrapText="1"/>
      <protection hidden="1"/>
    </xf>
    <xf numFmtId="0" fontId="29" fillId="17" borderId="0" xfId="5" applyFont="1" applyFill="1" applyAlignment="1" applyProtection="1">
      <alignment vertical="center"/>
      <protection hidden="1"/>
    </xf>
    <xf numFmtId="0" fontId="34" fillId="17" borderId="0" xfId="5" applyFont="1" applyFill="1" applyAlignment="1" applyProtection="1">
      <alignment vertical="center"/>
      <protection hidden="1"/>
    </xf>
    <xf numFmtId="0" fontId="53" fillId="0" borderId="0" xfId="5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5" fontId="35" fillId="0" borderId="0" xfId="3" applyNumberFormat="1" applyFont="1" applyFill="1" applyBorder="1" applyAlignment="1" applyProtection="1">
      <alignment horizontal="right" vertical="center" shrinkToFit="1"/>
      <protection hidden="1"/>
    </xf>
    <xf numFmtId="5" fontId="35" fillId="0" borderId="0" xfId="2" applyNumberFormat="1" applyFont="1" applyFill="1" applyBorder="1" applyAlignment="1" applyProtection="1">
      <alignment horizontal="center" vertical="center" shrinkToFit="1"/>
    </xf>
    <xf numFmtId="181" fontId="35" fillId="0" borderId="0" xfId="3" applyNumberFormat="1" applyFont="1" applyFill="1" applyBorder="1" applyAlignment="1" applyProtection="1">
      <alignment horizontal="right" vertical="center" shrinkToFit="1"/>
      <protection hidden="1"/>
    </xf>
    <xf numFmtId="10" fontId="34" fillId="3" borderId="9" xfId="3" applyNumberFormat="1" applyFont="1" applyFill="1" applyBorder="1" applyAlignment="1" applyProtection="1">
      <alignment horizontal="center" vertical="center" shrinkToFit="1"/>
      <protection hidden="1"/>
    </xf>
    <xf numFmtId="10" fontId="35" fillId="19" borderId="17" xfId="3" applyNumberFormat="1" applyFont="1" applyFill="1" applyBorder="1" applyAlignment="1" applyProtection="1">
      <alignment horizontal="center" vertical="center" shrinkToFit="1"/>
      <protection hidden="1"/>
    </xf>
    <xf numFmtId="10" fontId="34" fillId="3" borderId="5" xfId="3" applyNumberFormat="1" applyFont="1" applyFill="1" applyBorder="1" applyAlignment="1" applyProtection="1">
      <alignment horizontal="center" vertical="center" shrinkToFit="1"/>
      <protection hidden="1"/>
    </xf>
    <xf numFmtId="0" fontId="84" fillId="0" borderId="0" xfId="5" applyFont="1" applyAlignment="1">
      <alignment horizontal="right" vertical="center"/>
    </xf>
    <xf numFmtId="0" fontId="66" fillId="3" borderId="5" xfId="5" applyFont="1" applyFill="1" applyBorder="1" applyAlignment="1">
      <alignment horizontal="center" vertical="center" wrapText="1"/>
    </xf>
    <xf numFmtId="0" fontId="30" fillId="10" borderId="6" xfId="0" applyFont="1" applyFill="1" applyBorder="1" applyAlignment="1" applyProtection="1">
      <alignment horizontal="center" vertical="center" wrapText="1"/>
      <protection hidden="1"/>
    </xf>
    <xf numFmtId="0" fontId="35" fillId="12" borderId="5" xfId="0" applyFont="1" applyFill="1" applyBorder="1" applyAlignment="1" applyProtection="1">
      <alignment horizontal="center" vertical="center" wrapText="1"/>
      <protection hidden="1"/>
    </xf>
    <xf numFmtId="0" fontId="30" fillId="12" borderId="6" xfId="0" applyFont="1" applyFill="1" applyBorder="1" applyAlignment="1" applyProtection="1">
      <alignment horizontal="center" vertical="center" wrapText="1"/>
      <protection hidden="1"/>
    </xf>
    <xf numFmtId="0" fontId="35" fillId="8" borderId="5" xfId="0" applyFont="1" applyFill="1" applyBorder="1" applyAlignment="1" applyProtection="1">
      <alignment horizontal="center" vertical="center" wrapText="1"/>
      <protection hidden="1"/>
    </xf>
    <xf numFmtId="0" fontId="30" fillId="8" borderId="6" xfId="0" applyFont="1" applyFill="1" applyBorder="1" applyAlignment="1" applyProtection="1">
      <alignment horizontal="center" vertical="center" wrapText="1"/>
      <protection hidden="1"/>
    </xf>
    <xf numFmtId="0" fontId="35" fillId="13" borderId="5" xfId="5" applyFont="1" applyFill="1" applyBorder="1" applyAlignment="1" applyProtection="1">
      <alignment horizontal="center" vertical="center" wrapText="1"/>
      <protection hidden="1"/>
    </xf>
    <xf numFmtId="0" fontId="30" fillId="22" borderId="6" xfId="5" applyFont="1" applyFill="1" applyBorder="1" applyAlignment="1" applyProtection="1">
      <alignment horizontal="center" vertical="center" wrapText="1"/>
      <protection hidden="1"/>
    </xf>
    <xf numFmtId="0" fontId="35" fillId="17" borderId="1" xfId="0" applyFont="1" applyFill="1" applyBorder="1" applyAlignment="1" applyProtection="1">
      <alignment vertical="center" wrapText="1"/>
      <protection hidden="1"/>
    </xf>
    <xf numFmtId="0" fontId="34" fillId="0" borderId="9" xfId="0" applyFont="1" applyBorder="1" applyAlignment="1" applyProtection="1">
      <alignment horizontal="center" vertical="center" wrapText="1"/>
      <protection hidden="1"/>
    </xf>
    <xf numFmtId="177" fontId="34" fillId="0" borderId="9" xfId="0" applyNumberFormat="1" applyFont="1" applyBorder="1" applyAlignment="1" applyProtection="1">
      <alignment horizontal="center" vertical="center" wrapText="1"/>
      <protection hidden="1"/>
    </xf>
    <xf numFmtId="178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37" fontId="31" fillId="3" borderId="5" xfId="2" applyNumberFormat="1" applyFont="1" applyFill="1" applyBorder="1" applyAlignment="1" applyProtection="1">
      <alignment horizontal="center" vertical="center" wrapText="1"/>
      <protection hidden="1"/>
    </xf>
    <xf numFmtId="174" fontId="31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34" fillId="17" borderId="1" xfId="0" applyFont="1" applyFill="1" applyBorder="1" applyAlignment="1" applyProtection="1">
      <alignment horizontal="left" vertical="center" wrapText="1"/>
      <protection hidden="1"/>
    </xf>
    <xf numFmtId="178" fontId="34" fillId="17" borderId="1" xfId="2" applyNumberFormat="1" applyFont="1" applyFill="1" applyBorder="1" applyAlignment="1" applyProtection="1">
      <alignment horizontal="center" vertical="center" shrinkToFit="1"/>
      <protection hidden="1"/>
    </xf>
    <xf numFmtId="177" fontId="34" fillId="3" borderId="9" xfId="2" applyNumberFormat="1" applyFont="1" applyFill="1" applyBorder="1" applyAlignment="1" applyProtection="1">
      <alignment horizontal="center" vertical="center" shrinkToFit="1"/>
      <protection hidden="1"/>
    </xf>
    <xf numFmtId="0" fontId="52" fillId="0" borderId="0" xfId="0" applyFont="1" applyAlignment="1" applyProtection="1">
      <alignment vertical="center"/>
      <protection locked="0"/>
    </xf>
    <xf numFmtId="0" fontId="52" fillId="0" borderId="0" xfId="0" applyFont="1" applyProtection="1">
      <protection locked="0"/>
    </xf>
    <xf numFmtId="0" fontId="55" fillId="0" borderId="0" xfId="0" applyFont="1" applyAlignment="1" applyProtection="1">
      <alignment horizontal="center"/>
      <protection locked="0"/>
    </xf>
    <xf numFmtId="180" fontId="35" fillId="0" borderId="0" xfId="3" applyNumberFormat="1" applyFont="1" applyFill="1" applyBorder="1" applyAlignment="1" applyProtection="1">
      <alignment horizontal="right" vertical="center" shrinkToFit="1"/>
    </xf>
    <xf numFmtId="0" fontId="77" fillId="0" borderId="0" xfId="5" applyFont="1" applyAlignment="1">
      <alignment horizontal="right" shrinkToFit="1"/>
    </xf>
    <xf numFmtId="182" fontId="35" fillId="19" borderId="17" xfId="2" applyNumberFormat="1" applyFont="1" applyFill="1" applyBorder="1" applyAlignment="1" applyProtection="1">
      <alignment horizontal="right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0" xfId="0" applyFont="1" applyAlignment="1">
      <alignment vertical="center" shrinkToFit="1"/>
    </xf>
    <xf numFmtId="0" fontId="53" fillId="9" borderId="0" xfId="0" applyFont="1" applyFill="1" applyAlignment="1" applyProtection="1">
      <alignment vertical="center"/>
      <protection hidden="1"/>
    </xf>
    <xf numFmtId="0" fontId="66" fillId="9" borderId="0" xfId="0" applyFont="1" applyFill="1" applyAlignment="1" applyProtection="1">
      <alignment horizontal="center" vertical="center" wrapText="1"/>
      <protection hidden="1"/>
    </xf>
    <xf numFmtId="0" fontId="55" fillId="9" borderId="0" xfId="0" applyFont="1" applyFill="1" applyAlignment="1" applyProtection="1">
      <alignment vertical="center"/>
      <protection hidden="1"/>
    </xf>
    <xf numFmtId="0" fontId="28" fillId="9" borderId="0" xfId="0" applyFont="1" applyFill="1" applyAlignment="1" applyProtection="1">
      <alignment vertical="center" wrapText="1"/>
      <protection hidden="1"/>
    </xf>
    <xf numFmtId="0" fontId="66" fillId="9" borderId="0" xfId="0" applyFont="1" applyFill="1" applyAlignment="1" applyProtection="1">
      <alignment horizontal="left" vertical="center" wrapText="1"/>
      <protection hidden="1"/>
    </xf>
    <xf numFmtId="0" fontId="53" fillId="9" borderId="0" xfId="0" applyFont="1" applyFill="1" applyAlignment="1" applyProtection="1">
      <alignment horizontal="left" vertical="center"/>
      <protection hidden="1"/>
    </xf>
    <xf numFmtId="0" fontId="52" fillId="9" borderId="0" xfId="0" applyFont="1" applyFill="1" applyAlignment="1" applyProtection="1">
      <alignment vertical="center"/>
      <protection hidden="1"/>
    </xf>
    <xf numFmtId="0" fontId="34" fillId="9" borderId="0" xfId="5" applyFont="1" applyFill="1" applyAlignment="1" applyProtection="1">
      <alignment vertical="center"/>
      <protection hidden="1"/>
    </xf>
    <xf numFmtId="0" fontId="31" fillId="9" borderId="0" xfId="5" applyFont="1" applyFill="1" applyAlignment="1" applyProtection="1">
      <alignment vertical="center"/>
      <protection hidden="1"/>
    </xf>
    <xf numFmtId="0" fontId="29" fillId="9" borderId="0" xfId="5" applyFont="1" applyFill="1" applyAlignment="1" applyProtection="1">
      <alignment vertical="center"/>
      <protection hidden="1"/>
    </xf>
    <xf numFmtId="9" fontId="55" fillId="9" borderId="0" xfId="0" applyNumberFormat="1" applyFont="1" applyFill="1" applyAlignment="1" applyProtection="1">
      <alignment vertical="center"/>
      <protection hidden="1"/>
    </xf>
    <xf numFmtId="0" fontId="55" fillId="9" borderId="7" xfId="0" applyFont="1" applyFill="1" applyBorder="1" applyAlignment="1" applyProtection="1">
      <alignment horizontal="center" vertical="center"/>
      <protection hidden="1"/>
    </xf>
    <xf numFmtId="0" fontId="53" fillId="9" borderId="0" xfId="0" applyFont="1" applyFill="1" applyAlignment="1" applyProtection="1">
      <alignment horizontal="center" vertical="center"/>
      <protection hidden="1"/>
    </xf>
    <xf numFmtId="5" fontId="31" fillId="9" borderId="0" xfId="5" applyNumberFormat="1" applyFont="1" applyFill="1" applyAlignment="1" applyProtection="1">
      <alignment vertical="center"/>
      <protection hidden="1"/>
    </xf>
    <xf numFmtId="0" fontId="66" fillId="9" borderId="0" xfId="5" applyFont="1" applyFill="1" applyAlignment="1" applyProtection="1">
      <alignment vertical="center" wrapText="1"/>
      <protection hidden="1"/>
    </xf>
    <xf numFmtId="0" fontId="0" fillId="9" borderId="0" xfId="0" applyFill="1" applyProtection="1">
      <protection hidden="1"/>
    </xf>
    <xf numFmtId="10" fontId="31" fillId="3" borderId="5" xfId="3" applyNumberFormat="1" applyFont="1" applyFill="1" applyBorder="1" applyAlignment="1" applyProtection="1">
      <alignment horizontal="center" vertical="center" wrapText="1"/>
      <protection hidden="1"/>
    </xf>
    <xf numFmtId="10" fontId="30" fillId="18" borderId="17" xfId="3" applyNumberFormat="1" applyFont="1" applyFill="1" applyBorder="1" applyAlignment="1" applyProtection="1">
      <alignment horizontal="center" vertical="center" wrapText="1"/>
      <protection hidden="1"/>
    </xf>
    <xf numFmtId="10" fontId="35" fillId="18" borderId="17" xfId="3" applyNumberFormat="1" applyFont="1" applyFill="1" applyBorder="1" applyAlignment="1" applyProtection="1">
      <alignment horizontal="center" vertical="center" wrapText="1"/>
      <protection hidden="1"/>
    </xf>
    <xf numFmtId="5" fontId="31" fillId="17" borderId="3" xfId="2" applyNumberFormat="1" applyFont="1" applyFill="1" applyBorder="1" applyAlignment="1" applyProtection="1">
      <alignment horizontal="center" vertical="center"/>
      <protection hidden="1"/>
    </xf>
    <xf numFmtId="5" fontId="31" fillId="17" borderId="1" xfId="2" applyNumberFormat="1" applyFont="1" applyFill="1" applyBorder="1" applyAlignment="1" applyProtection="1">
      <alignment horizontal="center" vertical="center"/>
      <protection hidden="1"/>
    </xf>
    <xf numFmtId="5" fontId="31" fillId="17" borderId="6" xfId="2" applyNumberFormat="1" applyFont="1" applyFill="1" applyBorder="1" applyAlignment="1" applyProtection="1">
      <alignment horizontal="center" vertical="center"/>
      <protection hidden="1"/>
    </xf>
    <xf numFmtId="0" fontId="53" fillId="9" borderId="0" xfId="0" applyFont="1" applyFill="1" applyAlignment="1" applyProtection="1">
      <alignment vertical="center"/>
      <protection locked="0" hidden="1"/>
    </xf>
    <xf numFmtId="0" fontId="57" fillId="0" borderId="0" xfId="0" applyFont="1" applyAlignment="1">
      <alignment horizontal="left" vertical="center" wrapText="1" indent="1"/>
    </xf>
    <xf numFmtId="0" fontId="55" fillId="0" borderId="0" xfId="0" applyFont="1" applyAlignment="1">
      <alignment horizontal="center"/>
    </xf>
    <xf numFmtId="0" fontId="75" fillId="0" borderId="0" xfId="0" applyFont="1" applyAlignment="1">
      <alignment vertical="center"/>
    </xf>
    <xf numFmtId="0" fontId="78" fillId="0" borderId="0" xfId="2" applyNumberFormat="1" applyFont="1" applyFill="1" applyAlignment="1">
      <alignment vertical="center" wrapText="1"/>
    </xf>
    <xf numFmtId="181" fontId="35" fillId="19" borderId="21" xfId="3" applyNumberFormat="1" applyFont="1" applyFill="1" applyBorder="1" applyAlignment="1" applyProtection="1">
      <alignment horizontal="right" vertical="center" shrinkToFit="1"/>
      <protection hidden="1"/>
    </xf>
    <xf numFmtId="0" fontId="30" fillId="16" borderId="5" xfId="0" applyFont="1" applyFill="1" applyBorder="1" applyAlignment="1" applyProtection="1">
      <alignment horizontal="center" vertical="center" wrapText="1"/>
      <protection hidden="1"/>
    </xf>
    <xf numFmtId="183" fontId="31" fillId="3" borderId="5" xfId="2" applyNumberFormat="1" applyFont="1" applyFill="1" applyBorder="1" applyAlignment="1" applyProtection="1">
      <alignment horizontal="center" vertical="center" shrinkToFit="1"/>
      <protection hidden="1"/>
    </xf>
    <xf numFmtId="0" fontId="53" fillId="9" borderId="10" xfId="0" applyFont="1" applyFill="1" applyBorder="1" applyAlignment="1" applyProtection="1">
      <alignment horizontal="center" vertical="center"/>
      <protection locked="0"/>
    </xf>
    <xf numFmtId="0" fontId="53" fillId="9" borderId="0" xfId="0" applyFont="1" applyFill="1" applyAlignment="1" applyProtection="1">
      <alignment vertical="center"/>
      <protection locked="0"/>
    </xf>
    <xf numFmtId="0" fontId="15" fillId="9" borderId="0" xfId="0" applyFont="1" applyFill="1" applyAlignment="1" applyProtection="1">
      <alignment vertical="center"/>
      <protection locked="0"/>
    </xf>
    <xf numFmtId="0" fontId="87" fillId="9" borderId="0" xfId="0" applyFont="1" applyFill="1" applyAlignment="1" applyProtection="1">
      <alignment vertical="center"/>
      <protection locked="0"/>
    </xf>
    <xf numFmtId="0" fontId="88" fillId="9" borderId="0" xfId="5" applyFont="1" applyFill="1" applyAlignment="1" applyProtection="1">
      <alignment vertical="center"/>
      <protection hidden="1"/>
    </xf>
    <xf numFmtId="0" fontId="86" fillId="9" borderId="0" xfId="0" applyFont="1" applyFill="1" applyAlignment="1" applyProtection="1">
      <alignment vertical="center"/>
      <protection hidden="1"/>
    </xf>
    <xf numFmtId="0" fontId="89" fillId="9" borderId="0" xfId="5" applyFont="1" applyFill="1" applyAlignment="1" applyProtection="1">
      <alignment vertical="center"/>
      <protection hidden="1"/>
    </xf>
    <xf numFmtId="3" fontId="89" fillId="9" borderId="0" xfId="5" applyNumberFormat="1" applyFont="1" applyFill="1" applyAlignment="1" applyProtection="1">
      <alignment vertical="center"/>
      <protection hidden="1"/>
    </xf>
    <xf numFmtId="0" fontId="90" fillId="9" borderId="0" xfId="0" applyFont="1" applyFill="1" applyAlignment="1" applyProtection="1">
      <alignment vertical="center" wrapText="1"/>
      <protection hidden="1"/>
    </xf>
    <xf numFmtId="9" fontId="89" fillId="9" borderId="0" xfId="5" applyNumberFormat="1" applyFont="1" applyFill="1" applyAlignment="1" applyProtection="1">
      <alignment vertical="center"/>
      <protection hidden="1"/>
    </xf>
    <xf numFmtId="0" fontId="90" fillId="9" borderId="0" xfId="0" applyFont="1" applyFill="1" applyProtection="1">
      <protection hidden="1"/>
    </xf>
    <xf numFmtId="10" fontId="89" fillId="9" borderId="0" xfId="5" applyNumberFormat="1" applyFont="1" applyFill="1" applyAlignment="1" applyProtection="1">
      <alignment vertical="center"/>
      <protection hidden="1"/>
    </xf>
    <xf numFmtId="0" fontId="46" fillId="0" borderId="1" xfId="5" applyFont="1" applyBorder="1" applyAlignment="1">
      <alignment horizontal="center" vertical="center"/>
    </xf>
    <xf numFmtId="0" fontId="72" fillId="0" borderId="0" xfId="2" applyNumberFormat="1" applyFont="1" applyFill="1" applyAlignment="1">
      <alignment vertical="center" wrapText="1"/>
    </xf>
    <xf numFmtId="177" fontId="31" fillId="0" borderId="5" xfId="0" applyNumberFormat="1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10" fontId="36" fillId="0" borderId="0" xfId="3" applyNumberFormat="1" applyFont="1" applyFill="1" applyBorder="1" applyAlignment="1" applyProtection="1">
      <alignment horizontal="left" vertical="center" shrinkToFit="1"/>
      <protection hidden="1"/>
    </xf>
    <xf numFmtId="0" fontId="77" fillId="0" borderId="0" xfId="5" applyFont="1" applyAlignment="1" applyProtection="1">
      <alignment horizontal="right"/>
      <protection hidden="1"/>
    </xf>
    <xf numFmtId="10" fontId="30" fillId="0" borderId="0" xfId="3" applyNumberFormat="1" applyFont="1" applyFill="1" applyBorder="1" applyAlignment="1" applyProtection="1">
      <alignment horizontal="left" shrinkToFit="1"/>
      <protection hidden="1"/>
    </xf>
    <xf numFmtId="175" fontId="31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72" fillId="0" borderId="0" xfId="2" applyNumberFormat="1" applyFont="1" applyFill="1" applyBorder="1" applyAlignment="1" applyProtection="1">
      <alignment horizontal="left" vertical="center"/>
      <protection hidden="1"/>
    </xf>
    <xf numFmtId="0" fontId="72" fillId="0" borderId="0" xfId="2" applyNumberFormat="1" applyFont="1" applyFill="1" applyBorder="1" applyAlignment="1" applyProtection="1">
      <alignment horizontal="left" vertical="center"/>
    </xf>
    <xf numFmtId="0" fontId="30" fillId="8" borderId="16" xfId="0" applyFont="1" applyFill="1" applyBorder="1" applyAlignment="1">
      <alignment horizontal="center" vertical="center" wrapText="1"/>
    </xf>
    <xf numFmtId="0" fontId="35" fillId="13" borderId="5" xfId="0" applyFont="1" applyFill="1" applyBorder="1" applyAlignment="1" applyProtection="1">
      <alignment horizontal="center" vertical="center" wrapText="1"/>
      <protection hidden="1"/>
    </xf>
    <xf numFmtId="0" fontId="35" fillId="14" borderId="3" xfId="0" applyFont="1" applyFill="1" applyBorder="1" applyAlignment="1" applyProtection="1">
      <alignment horizontal="center" vertical="center" wrapText="1"/>
      <protection hidden="1"/>
    </xf>
    <xf numFmtId="0" fontId="30" fillId="0" borderId="5" xfId="0" applyFont="1" applyBorder="1" applyAlignment="1">
      <alignment horizontal="right" vertical="center" wrapText="1"/>
    </xf>
    <xf numFmtId="0" fontId="33" fillId="2" borderId="15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18" borderId="21" xfId="0" applyFont="1" applyFill="1" applyBorder="1" applyAlignment="1" applyProtection="1">
      <alignment horizontal="right" vertical="center" wrapText="1"/>
      <protection hidden="1"/>
    </xf>
    <xf numFmtId="0" fontId="30" fillId="7" borderId="3" xfId="5" applyFont="1" applyFill="1" applyBorder="1" applyAlignment="1">
      <alignment horizontal="center" vertical="center" wrapText="1"/>
    </xf>
    <xf numFmtId="0" fontId="30" fillId="7" borderId="6" xfId="5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right" vertical="center" wrapText="1"/>
    </xf>
    <xf numFmtId="0" fontId="37" fillId="16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0" fillId="2" borderId="18" xfId="5" applyFont="1" applyFill="1" applyBorder="1" applyAlignment="1" applyProtection="1">
      <alignment horizontal="left" vertical="top" wrapText="1"/>
      <protection locked="0"/>
    </xf>
    <xf numFmtId="0" fontId="34" fillId="2" borderId="19" xfId="5" applyFont="1" applyFill="1" applyBorder="1" applyAlignment="1" applyProtection="1">
      <alignment horizontal="left" vertical="top" wrapText="1"/>
      <protection locked="0"/>
    </xf>
    <xf numFmtId="0" fontId="1" fillId="0" borderId="19" xfId="5" applyBorder="1" applyAlignment="1" applyProtection="1">
      <alignment wrapText="1"/>
      <protection locked="0"/>
    </xf>
    <xf numFmtId="0" fontId="1" fillId="0" borderId="11" xfId="5" applyBorder="1" applyAlignment="1">
      <alignment wrapText="1"/>
    </xf>
    <xf numFmtId="0" fontId="34" fillId="2" borderId="14" xfId="5" applyFont="1" applyFill="1" applyBorder="1" applyAlignment="1" applyProtection="1">
      <alignment horizontal="left" vertical="top" wrapText="1"/>
      <protection locked="0"/>
    </xf>
    <xf numFmtId="0" fontId="34" fillId="2" borderId="4" xfId="5" applyFont="1" applyFill="1" applyBorder="1" applyAlignment="1" applyProtection="1">
      <alignment horizontal="left" vertical="top" wrapText="1"/>
      <protection locked="0"/>
    </xf>
    <xf numFmtId="0" fontId="1" fillId="0" borderId="4" xfId="5" applyBorder="1" applyAlignment="1" applyProtection="1">
      <alignment wrapText="1"/>
      <protection locked="0"/>
    </xf>
    <xf numFmtId="0" fontId="1" fillId="0" borderId="22" xfId="5" applyBorder="1" applyAlignment="1">
      <alignment wrapText="1"/>
    </xf>
    <xf numFmtId="0" fontId="35" fillId="0" borderId="14" xfId="0" applyFont="1" applyBorder="1" applyAlignment="1">
      <alignment horizontal="center" vertical="center" wrapText="1"/>
    </xf>
    <xf numFmtId="0" fontId="35" fillId="15" borderId="5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right" vertical="center" wrapText="1"/>
      <protection hidden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5" fillId="0" borderId="12" xfId="5" applyFont="1" applyBorder="1" applyAlignment="1">
      <alignment vertical="center" wrapText="1"/>
    </xf>
    <xf numFmtId="0" fontId="31" fillId="0" borderId="9" xfId="5" applyFont="1" applyBorder="1" applyAlignment="1">
      <alignment vertical="center" wrapText="1"/>
    </xf>
    <xf numFmtId="0" fontId="30" fillId="3" borderId="21" xfId="0" applyFont="1" applyFill="1" applyBorder="1" applyAlignment="1">
      <alignment horizontal="right" vertical="center" wrapText="1"/>
    </xf>
    <xf numFmtId="0" fontId="30" fillId="17" borderId="0" xfId="5" applyFont="1" applyFill="1" applyAlignment="1" applyProtection="1">
      <alignment horizontal="left" vertical="center" wrapText="1"/>
      <protection hidden="1"/>
    </xf>
    <xf numFmtId="0" fontId="85" fillId="20" borderId="5" xfId="2" applyNumberFormat="1" applyFont="1" applyFill="1" applyBorder="1" applyAlignment="1">
      <alignment horizontal="center" vertical="center" wrapText="1"/>
    </xf>
    <xf numFmtId="49" fontId="79" fillId="0" borderId="0" xfId="2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7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6" fillId="8" borderId="0" xfId="0" applyFont="1" applyFill="1" applyAlignment="1">
      <alignment horizontal="center" vertical="center" wrapText="1"/>
    </xf>
    <xf numFmtId="0" fontId="46" fillId="8" borderId="16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 applyProtection="1">
      <alignment horizontal="center" vertical="center" wrapText="1"/>
      <protection locked="0"/>
    </xf>
    <xf numFmtId="0" fontId="33" fillId="5" borderId="8" xfId="0" applyFont="1" applyFill="1" applyBorder="1" applyAlignment="1" applyProtection="1">
      <alignment horizontal="center" vertical="center" wrapText="1"/>
      <protection locked="0"/>
    </xf>
    <xf numFmtId="14" fontId="33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right" vertical="center" wrapText="1"/>
    </xf>
    <xf numFmtId="0" fontId="35" fillId="0" borderId="6" xfId="0" applyFont="1" applyBorder="1" applyAlignment="1">
      <alignment horizontal="right" vertical="center" wrapText="1"/>
    </xf>
    <xf numFmtId="0" fontId="35" fillId="0" borderId="1" xfId="0" applyFont="1" applyBorder="1" applyAlignment="1" applyProtection="1">
      <alignment horizontal="left" vertical="center" wrapText="1"/>
      <protection hidden="1"/>
    </xf>
    <xf numFmtId="0" fontId="40" fillId="6" borderId="0" xfId="0" applyFont="1" applyFill="1" applyAlignment="1" applyProtection="1">
      <alignment horizontal="left" vertical="center"/>
      <protection hidden="1"/>
    </xf>
    <xf numFmtId="0" fontId="35" fillId="10" borderId="3" xfId="0" applyFont="1" applyFill="1" applyBorder="1" applyAlignment="1" applyProtection="1">
      <alignment horizontal="center" vertical="center" wrapText="1"/>
      <protection hidden="1"/>
    </xf>
    <xf numFmtId="0" fontId="35" fillId="10" borderId="1" xfId="0" applyFont="1" applyFill="1" applyBorder="1" applyAlignment="1" applyProtection="1">
      <alignment horizontal="center" vertical="center" wrapText="1"/>
      <protection hidden="1"/>
    </xf>
    <xf numFmtId="0" fontId="35" fillId="10" borderId="6" xfId="0" applyFont="1" applyFill="1" applyBorder="1" applyAlignment="1" applyProtection="1">
      <alignment horizontal="center" vertical="center" wrapText="1"/>
      <protection hidden="1"/>
    </xf>
    <xf numFmtId="0" fontId="35" fillId="12" borderId="3" xfId="0" applyFont="1" applyFill="1" applyBorder="1" applyAlignment="1" applyProtection="1">
      <alignment horizontal="center" vertical="center" wrapText="1"/>
      <protection hidden="1"/>
    </xf>
    <xf numFmtId="0" fontId="35" fillId="12" borderId="1" xfId="0" applyFont="1" applyFill="1" applyBorder="1" applyAlignment="1" applyProtection="1">
      <alignment horizontal="center" vertical="center" wrapText="1"/>
      <protection hidden="1"/>
    </xf>
    <xf numFmtId="0" fontId="35" fillId="12" borderId="6" xfId="0" applyFont="1" applyFill="1" applyBorder="1" applyAlignment="1" applyProtection="1">
      <alignment horizontal="center" vertical="center" wrapText="1"/>
      <protection hidden="1"/>
    </xf>
    <xf numFmtId="183" fontId="30" fillId="18" borderId="13" xfId="2" applyNumberFormat="1" applyFont="1" applyFill="1" applyBorder="1" applyAlignment="1" applyProtection="1">
      <alignment horizontal="right" vertical="center" shrinkToFit="1"/>
    </xf>
    <xf numFmtId="183" fontId="30" fillId="18" borderId="8" xfId="2" applyNumberFormat="1" applyFont="1" applyFill="1" applyBorder="1" applyAlignment="1" applyProtection="1">
      <alignment horizontal="right" vertical="center" shrinkToFit="1"/>
    </xf>
    <xf numFmtId="0" fontId="77" fillId="0" borderId="3" xfId="5" applyFont="1" applyBorder="1" applyAlignment="1">
      <alignment horizontal="center" vertical="center" wrapText="1"/>
    </xf>
    <xf numFmtId="0" fontId="77" fillId="0" borderId="6" xfId="5" applyFont="1" applyBorder="1" applyAlignment="1">
      <alignment horizontal="center" vertical="center" wrapText="1"/>
    </xf>
    <xf numFmtId="0" fontId="35" fillId="10" borderId="5" xfId="5" applyFont="1" applyFill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center" vertical="center" shrinkToFit="1"/>
      <protection hidden="1"/>
    </xf>
    <xf numFmtId="0" fontId="0" fillId="0" borderId="6" xfId="0" applyBorder="1" applyAlignment="1">
      <alignment horizontal="center" vertical="center" shrinkToFit="1"/>
    </xf>
    <xf numFmtId="0" fontId="62" fillId="0" borderId="3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right" vertical="center" wrapText="1"/>
    </xf>
    <xf numFmtId="0" fontId="62" fillId="0" borderId="6" xfId="0" applyFont="1" applyBorder="1" applyAlignment="1">
      <alignment horizontal="right" vertical="center" wrapText="1"/>
    </xf>
    <xf numFmtId="0" fontId="40" fillId="16" borderId="3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72" fillId="0" borderId="0" xfId="2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35" fillId="0" borderId="9" xfId="0" applyFont="1" applyBorder="1" applyAlignment="1">
      <alignment horizontal="right" vertical="center" wrapText="1"/>
    </xf>
    <xf numFmtId="0" fontId="30" fillId="0" borderId="9" xfId="0" applyFont="1" applyBorder="1" applyAlignment="1">
      <alignment horizontal="right" vertical="center" wrapText="1"/>
    </xf>
    <xf numFmtId="0" fontId="59" fillId="17" borderId="3" xfId="5" applyFont="1" applyFill="1" applyBorder="1" applyAlignment="1" applyProtection="1">
      <alignment horizontal="center" vertical="center" wrapText="1"/>
      <protection hidden="1"/>
    </xf>
    <xf numFmtId="0" fontId="83" fillId="0" borderId="1" xfId="5" applyFont="1" applyBorder="1" applyAlignment="1" applyProtection="1">
      <alignment vertical="center"/>
      <protection hidden="1"/>
    </xf>
    <xf numFmtId="0" fontId="83" fillId="0" borderId="6" xfId="5" applyFont="1" applyBorder="1" applyAlignment="1" applyProtection="1">
      <alignment vertical="center"/>
      <protection hidden="1"/>
    </xf>
    <xf numFmtId="0" fontId="59" fillId="3" borderId="3" xfId="5" applyFont="1" applyFill="1" applyBorder="1" applyAlignment="1">
      <alignment horizontal="left" vertical="center" wrapText="1"/>
    </xf>
    <xf numFmtId="0" fontId="59" fillId="3" borderId="1" xfId="5" applyFont="1" applyFill="1" applyBorder="1" applyAlignment="1">
      <alignment horizontal="left" vertical="center" wrapText="1"/>
    </xf>
    <xf numFmtId="0" fontId="59" fillId="3" borderId="6" xfId="5" applyFont="1" applyFill="1" applyBorder="1" applyAlignment="1">
      <alignment horizontal="left" vertical="center" wrapText="1"/>
    </xf>
    <xf numFmtId="0" fontId="35" fillId="13" borderId="3" xfId="5" applyFont="1" applyFill="1" applyBorder="1" applyAlignment="1" applyProtection="1">
      <alignment horizontal="center" vertical="center" wrapText="1"/>
      <protection hidden="1"/>
    </xf>
    <xf numFmtId="0" fontId="35" fillId="13" borderId="1" xfId="5" applyFont="1" applyFill="1" applyBorder="1" applyAlignment="1" applyProtection="1">
      <alignment horizontal="center" vertical="center" wrapText="1"/>
      <protection hidden="1"/>
    </xf>
    <xf numFmtId="0" fontId="35" fillId="13" borderId="6" xfId="5" applyFont="1" applyFill="1" applyBorder="1" applyAlignment="1" applyProtection="1">
      <alignment horizontal="center" vertical="center" wrapText="1"/>
      <protection hidden="1"/>
    </xf>
    <xf numFmtId="0" fontId="35" fillId="7" borderId="3" xfId="0" applyFont="1" applyFill="1" applyBorder="1" applyAlignment="1">
      <alignment horizontal="left" vertical="center"/>
    </xf>
    <xf numFmtId="0" fontId="30" fillId="7" borderId="6" xfId="0" applyFont="1" applyFill="1" applyBorder="1" applyAlignment="1">
      <alignment horizontal="left" vertical="center"/>
    </xf>
    <xf numFmtId="0" fontId="35" fillId="0" borderId="3" xfId="5" applyFont="1" applyBorder="1" applyAlignment="1">
      <alignment horizontal="right" vertical="center" wrapText="1"/>
    </xf>
    <xf numFmtId="0" fontId="35" fillId="0" borderId="6" xfId="5" applyFont="1" applyBorder="1" applyAlignment="1">
      <alignment horizontal="right" vertical="center" wrapText="1"/>
    </xf>
    <xf numFmtId="0" fontId="50" fillId="2" borderId="18" xfId="0" applyFont="1" applyFill="1" applyBorder="1" applyAlignment="1" applyProtection="1">
      <alignment horizontal="left" vertical="top"/>
      <protection locked="0"/>
    </xf>
    <xf numFmtId="0" fontId="0" fillId="0" borderId="1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2" xfId="0" applyBorder="1" applyAlignment="1">
      <alignment vertical="top"/>
    </xf>
    <xf numFmtId="0" fontId="40" fillId="0" borderId="12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35" fillId="0" borderId="1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5" fillId="0" borderId="12" xfId="0" applyFont="1" applyBorder="1" applyAlignment="1">
      <alignment horizontal="right" vertical="center" wrapText="1"/>
    </xf>
    <xf numFmtId="0" fontId="30" fillId="0" borderId="12" xfId="0" applyFont="1" applyBorder="1" applyAlignment="1">
      <alignment horizontal="right" vertical="center" wrapText="1"/>
    </xf>
    <xf numFmtId="0" fontId="30" fillId="8" borderId="5" xfId="0" applyFont="1" applyFill="1" applyBorder="1" applyAlignment="1" applyProtection="1">
      <alignment horizontal="center" vertical="center" wrapText="1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10" fontId="34" fillId="3" borderId="5" xfId="3" applyNumberFormat="1" applyFont="1" applyFill="1" applyBorder="1" applyAlignment="1" applyProtection="1">
      <alignment horizontal="right" vertical="center" shrinkToFit="1"/>
    </xf>
  </cellXfs>
  <cellStyles count="8">
    <cellStyle name="Milliers [0]" xfId="1" builtinId="6"/>
    <cellStyle name="Monétaire" xfId="4" builtinId="4"/>
    <cellStyle name="Monétaire [0]" xfId="2" builtinId="7"/>
    <cellStyle name="Monétaire 2" xfId="6" xr:uid="{84D04B93-411A-4C2C-8F48-119ABFDCAC65}"/>
    <cellStyle name="Monétaire 3" xfId="7" xr:uid="{4B84966C-69C8-498C-92EB-43E5DA61E5CA}"/>
    <cellStyle name="Normal" xfId="0" builtinId="0"/>
    <cellStyle name="Normal 2" xfId="5" xr:uid="{EE046D95-4259-4A10-9DEF-5D9B78A2DBDD}"/>
    <cellStyle name="Pourcentage" xfId="3" builtinId="5"/>
  </cellStyles>
  <dxfs count="16">
    <dxf>
      <font>
        <color rgb="FFFF0000"/>
      </font>
      <fill>
        <patternFill>
          <fgColor rgb="FFFFFF00"/>
          <bgColor rgb="FFFFFF00"/>
        </patternFill>
      </fill>
    </dxf>
    <dxf>
      <font>
        <color rgb="FFFF0000"/>
      </font>
      <fill>
        <patternFill>
          <fgColor rgb="FFFFFF00"/>
          <bgColor rgb="FFFFFF00"/>
        </patternFill>
      </fill>
    </dxf>
    <dxf>
      <font>
        <color rgb="FFFF0000"/>
      </font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</dxf>
    <dxf>
      <font>
        <color rgb="FFC00000"/>
      </font>
      <fill>
        <patternFill>
          <bgColor rgb="FFFFFF00"/>
        </patternFill>
      </fill>
    </dxf>
    <dxf>
      <font>
        <color rgb="FF9C0006"/>
      </font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E1EB81"/>
      <color rgb="FFCCFFFF"/>
      <color rgb="FFBFBFBF"/>
      <color rgb="FFFABF8F"/>
      <color rgb="FFF4750C"/>
      <color rgb="FFF8A15A"/>
      <color rgb="FFF58427"/>
      <color rgb="FFF79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2" dropStyle="combo" dx="16" fmlaLink="$A$58" fmlaRange="$B$59:$B$80" sel="22" val="0"/>
</file>

<file path=xl/ctrlProps/ctrlProp2.xml><?xml version="1.0" encoding="utf-8"?>
<formControlPr xmlns="http://schemas.microsoft.com/office/spreadsheetml/2009/9/main" objectType="Drop" dropLines="21" dropStyle="combo" dx="16" fmlaLink="$A$68" fmlaRange="$B$68:$B$88" sel="21" val="0"/>
</file>

<file path=xl/ctrlProps/ctrlProp3.xml><?xml version="1.0" encoding="utf-8"?>
<formControlPr xmlns="http://schemas.microsoft.com/office/spreadsheetml/2009/9/main" objectType="Drop" dropLines="2" dropStyle="combo" dx="16" fmlaLink="$K$68" fmlaRange="$A$72:$A$7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</xdr:rowOff>
        </xdr:from>
        <xdr:to>
          <xdr:col>6</xdr:col>
          <xdr:colOff>19050</xdr:colOff>
          <xdr:row>12</xdr:row>
          <xdr:rowOff>285750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0</xdr:colOff>
      <xdr:row>0</xdr:row>
      <xdr:rowOff>0</xdr:rowOff>
    </xdr:from>
    <xdr:ext cx="1135380" cy="896651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5380" cy="8966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</xdr:row>
          <xdr:rowOff>0</xdr:rowOff>
        </xdr:from>
        <xdr:to>
          <xdr:col>5</xdr:col>
          <xdr:colOff>152400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38100</xdr:rowOff>
    </xdr:from>
    <xdr:to>
      <xdr:col>0</xdr:col>
      <xdr:colOff>1047750</xdr:colOff>
      <xdr:row>0</xdr:row>
      <xdr:rowOff>963190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047750" cy="9250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10</xdr:row>
          <xdr:rowOff>19050</xdr:rowOff>
        </xdr:from>
        <xdr:to>
          <xdr:col>4</xdr:col>
          <xdr:colOff>0</xdr:colOff>
          <xdr:row>11</xdr:row>
          <xdr:rowOff>9525</xdr:rowOff>
        </xdr:to>
        <xdr:sp macro="" textlink="">
          <xdr:nvSpPr>
            <xdr:cNvPr id="5160" name="Drop Dow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118"/>
  <sheetViews>
    <sheetView tabSelected="1" zoomScaleNormal="100" zoomScaleSheetLayoutView="100" workbookViewId="0">
      <selection activeCell="B2" sqref="B2:D2"/>
    </sheetView>
  </sheetViews>
  <sheetFormatPr baseColWidth="10" defaultColWidth="8.88671875" defaultRowHeight="15" x14ac:dyDescent="0.2"/>
  <cols>
    <col min="1" max="1" width="8.44140625" style="339" customWidth="1"/>
    <col min="2" max="2" width="18" style="357" customWidth="1"/>
    <col min="3" max="6" width="12.77734375" style="339" customWidth="1"/>
    <col min="7" max="7" width="11.6640625" style="339" customWidth="1"/>
    <col min="8" max="8" width="11" style="339" customWidth="1"/>
    <col min="9" max="9" width="11.6640625" style="339" customWidth="1"/>
    <col min="10" max="10" width="10.6640625" style="339" customWidth="1"/>
    <col min="11" max="11" width="12.6640625" style="339" customWidth="1"/>
    <col min="12" max="12" width="14.109375" style="339" customWidth="1"/>
    <col min="13" max="13" width="14.33203125" style="339" bestFit="1" customWidth="1"/>
    <col min="14" max="14" width="14.109375" style="339" customWidth="1"/>
    <col min="15" max="15" width="12.21875" style="339" hidden="1" customWidth="1"/>
    <col min="16" max="16" width="12" style="339" hidden="1" customWidth="1"/>
    <col min="17" max="17" width="10.88671875" style="339" hidden="1" customWidth="1"/>
    <col min="18" max="41" width="8.88671875" style="339"/>
    <col min="42" max="16384" width="8.88671875" style="341"/>
  </cols>
  <sheetData>
    <row r="1" spans="1:43" ht="76.150000000000006" customHeight="1" thickBot="1" x14ac:dyDescent="0.25">
      <c r="A1" s="7"/>
      <c r="B1" s="8"/>
      <c r="C1" s="552" t="s">
        <v>0</v>
      </c>
      <c r="D1" s="552"/>
      <c r="E1" s="552"/>
      <c r="F1" s="552"/>
      <c r="G1" s="552"/>
      <c r="H1" s="552"/>
      <c r="I1" s="552"/>
      <c r="J1" s="552"/>
      <c r="K1" s="552"/>
      <c r="L1"/>
      <c r="M1"/>
      <c r="N1"/>
      <c r="O1"/>
      <c r="P1"/>
      <c r="Q1"/>
      <c r="R1"/>
      <c r="AP1" s="340"/>
      <c r="AQ1" s="340"/>
    </row>
    <row r="2" spans="1:43" s="343" customFormat="1" ht="27" customHeight="1" thickBot="1" x14ac:dyDescent="0.25">
      <c r="A2" s="55" t="s">
        <v>1</v>
      </c>
      <c r="B2" s="556"/>
      <c r="C2" s="556"/>
      <c r="D2" s="556"/>
      <c r="E2" s="55" t="s">
        <v>2</v>
      </c>
      <c r="F2" s="556"/>
      <c r="G2" s="556"/>
      <c r="H2" s="556"/>
      <c r="I2" s="557" t="s">
        <v>3</v>
      </c>
      <c r="J2" s="558"/>
      <c r="K2" s="56"/>
      <c r="L2"/>
      <c r="M2"/>
      <c r="N2"/>
      <c r="O2"/>
      <c r="P2"/>
      <c r="Q2"/>
      <c r="R2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42"/>
      <c r="AP2" s="342"/>
      <c r="AQ2" s="342"/>
    </row>
    <row r="3" spans="1:43" s="343" customFormat="1" ht="22.5" customHeight="1" x14ac:dyDescent="0.2">
      <c r="A3" s="86" t="s">
        <v>4</v>
      </c>
      <c r="B3" s="51"/>
      <c r="C3" s="52"/>
      <c r="D3" s="106"/>
      <c r="E3" s="27"/>
      <c r="F3" s="9"/>
      <c r="G3" s="107"/>
      <c r="H3" s="27"/>
      <c r="I3" s="9"/>
      <c r="J3" s="108"/>
      <c r="K3" s="108"/>
      <c r="L3" s="2"/>
      <c r="M3"/>
      <c r="N3"/>
      <c r="O3"/>
      <c r="P3"/>
      <c r="Q3"/>
      <c r="R3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42"/>
      <c r="AP3" s="342"/>
      <c r="AQ3" s="342"/>
    </row>
    <row r="4" spans="1:43" ht="17.100000000000001" customHeight="1" x14ac:dyDescent="0.2">
      <c r="A4" s="108"/>
      <c r="B4" s="109"/>
      <c r="C4" s="110"/>
      <c r="D4" s="10"/>
      <c r="E4" s="10"/>
      <c r="F4" s="10"/>
      <c r="G4" s="11"/>
      <c r="H4" s="12"/>
      <c r="I4" s="12"/>
      <c r="J4" s="12"/>
      <c r="K4" s="12"/>
      <c r="L4" s="2"/>
      <c r="M4"/>
      <c r="N4"/>
      <c r="O4"/>
      <c r="P4"/>
      <c r="Q4"/>
      <c r="R4"/>
      <c r="AP4" s="340"/>
      <c r="AQ4" s="340"/>
    </row>
    <row r="5" spans="1:43" s="20" customFormat="1" ht="34.5" customHeight="1" x14ac:dyDescent="0.2">
      <c r="A5" s="14"/>
      <c r="B5" s="25"/>
      <c r="C5" s="560" t="s">
        <v>5</v>
      </c>
      <c r="D5" s="560"/>
      <c r="E5" s="87"/>
      <c r="F5" s="53" t="s">
        <v>6</v>
      </c>
      <c r="G5" s="88"/>
      <c r="H5" s="53" t="s">
        <v>7</v>
      </c>
      <c r="I5" s="88"/>
      <c r="J5" s="53" t="s">
        <v>8</v>
      </c>
      <c r="K5" s="89">
        <f>(G5*I5)/60</f>
        <v>0</v>
      </c>
      <c r="P5" s="15"/>
      <c r="Q5" s="16"/>
      <c r="R5" s="16"/>
      <c r="S5" s="16"/>
      <c r="T5" s="16"/>
      <c r="U5" s="16"/>
      <c r="V5" s="16"/>
      <c r="W5" s="17"/>
      <c r="X5" s="17"/>
      <c r="Y5" s="18"/>
      <c r="Z5" s="19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17.100000000000001" customHeight="1" x14ac:dyDescent="0.2">
      <c r="A6" s="108"/>
      <c r="B6" s="109"/>
      <c r="C6" s="110"/>
      <c r="D6" s="10"/>
      <c r="E6" s="10"/>
      <c r="F6" s="10"/>
      <c r="G6" s="11"/>
      <c r="H6" s="12"/>
      <c r="I6" s="12"/>
      <c r="J6" s="12"/>
      <c r="K6" s="12"/>
      <c r="L6" s="2"/>
      <c r="M6"/>
      <c r="N6"/>
      <c r="O6"/>
      <c r="P6"/>
      <c r="Q6"/>
      <c r="R6"/>
      <c r="AP6" s="340"/>
      <c r="AQ6" s="340"/>
    </row>
    <row r="7" spans="1:43" ht="30" customHeight="1" x14ac:dyDescent="0.2">
      <c r="A7" s="108"/>
      <c r="B7" s="109"/>
      <c r="C7" s="110"/>
      <c r="D7" s="10"/>
      <c r="E7" s="10"/>
      <c r="F7" s="10"/>
      <c r="G7" s="10"/>
      <c r="H7" s="12"/>
      <c r="I7" s="12"/>
      <c r="J7" s="54" t="s">
        <v>9</v>
      </c>
      <c r="K7" s="97">
        <f>IF($K$5=0,0,$E$5/$K$5)</f>
        <v>0</v>
      </c>
      <c r="L7" s="2"/>
      <c r="M7"/>
      <c r="N7" s="98"/>
      <c r="O7"/>
      <c r="P7"/>
      <c r="Q7"/>
      <c r="R7"/>
      <c r="AP7" s="340"/>
      <c r="AQ7" s="340"/>
    </row>
    <row r="8" spans="1:43" s="20" customFormat="1" ht="39" customHeight="1" x14ac:dyDescent="0.2">
      <c r="A8" s="32"/>
      <c r="B8" s="26"/>
      <c r="C8" s="559" t="s">
        <v>10</v>
      </c>
      <c r="D8" s="559"/>
      <c r="E8" s="87"/>
      <c r="F8" s="57">
        <f>IF(E8="Yes",60%,49%)</f>
        <v>0.49</v>
      </c>
      <c r="I8" s="48"/>
      <c r="L8" s="3"/>
      <c r="M8" s="16"/>
      <c r="N8" s="16"/>
      <c r="O8" s="16"/>
      <c r="P8" s="17"/>
      <c r="Q8" s="17"/>
      <c r="R8" s="18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43" ht="35.25" customHeight="1" x14ac:dyDescent="0.2">
      <c r="A9" s="564" t="s">
        <v>11</v>
      </c>
      <c r="B9" s="564"/>
      <c r="C9" s="564"/>
      <c r="D9" s="564"/>
      <c r="E9" s="87"/>
      <c r="F9" s="11"/>
      <c r="G9"/>
      <c r="H9" s="12"/>
      <c r="I9" s="562" t="s">
        <v>14</v>
      </c>
      <c r="J9" s="563"/>
      <c r="K9" s="332" t="str">
        <f>IF(OR(A58=22,N(E$5)=0,K$7=0),"",IF(AND(OR(A58&lt;4,A58&gt;18),K7&gt;=750000),"Yes",IF(AND(AND(A58&gt;5,A58&lt;11),K7&gt;=400000),"Yes",IF(AND(AND(A58&gt;10,A58&lt;19),K7&gt;=800000),"Yes","No"))))</f>
        <v/>
      </c>
      <c r="L9" s="2"/>
      <c r="M9"/>
      <c r="N9"/>
      <c r="O9"/>
      <c r="P9"/>
      <c r="Q9"/>
      <c r="R9"/>
      <c r="AP9" s="340"/>
      <c r="AQ9" s="340"/>
    </row>
    <row r="10" spans="1:43" s="20" customFormat="1" ht="30" hidden="1" customHeight="1" x14ac:dyDescent="0.2">
      <c r="A10" s="32"/>
      <c r="B10" s="26"/>
      <c r="C10" s="555" t="s">
        <v>12</v>
      </c>
      <c r="D10" s="555"/>
      <c r="E10" s="219" t="s">
        <v>13</v>
      </c>
      <c r="F10"/>
      <c r="H10" s="27"/>
      <c r="L10" s="338" t="str">
        <f>IFERROR(IF(K9="Yes","N/A to animated productions",""),"")</f>
        <v/>
      </c>
      <c r="M10" s="16"/>
      <c r="N10" s="16"/>
      <c r="O10" s="16"/>
      <c r="P10" s="17"/>
      <c r="Q10" s="17"/>
      <c r="R10" s="18"/>
      <c r="S10" s="19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43" s="20" customFormat="1" ht="30" customHeight="1" x14ac:dyDescent="0.2">
      <c r="A11" s="32"/>
      <c r="B11" s="26"/>
      <c r="C11" s="555" t="s">
        <v>15</v>
      </c>
      <c r="D11" s="555"/>
      <c r="E11" s="87"/>
      <c r="F11" s="46"/>
      <c r="H11" s="46"/>
      <c r="I11" s="562" t="s">
        <v>16</v>
      </c>
      <c r="J11" s="563"/>
      <c r="K11" s="89" t="str">
        <f>IF(N(E$5)=0,"",IF(E$5&gt;500000,"Yes","No"))</f>
        <v/>
      </c>
      <c r="L11" s="338" t="str">
        <f>IFERROR(IF(K11="Yes","N/A to live-to-air productions",""),"")</f>
        <v/>
      </c>
      <c r="M11" s="16"/>
      <c r="N11" s="16"/>
      <c r="O11" s="16"/>
      <c r="P11" s="17"/>
      <c r="Q11" s="17"/>
      <c r="R11" s="18"/>
      <c r="S11" s="19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43" ht="17.100000000000001" customHeight="1" x14ac:dyDescent="0.2">
      <c r="A12" s="111"/>
      <c r="B12" s="28"/>
      <c r="C12" s="340"/>
      <c r="D12" s="340"/>
      <c r="E12" s="340"/>
      <c r="F12" s="340"/>
      <c r="H12" s="28"/>
      <c r="I12" s="28"/>
      <c r="J12" s="28"/>
      <c r="K12" s="28"/>
      <c r="L12"/>
      <c r="M12"/>
      <c r="N12"/>
      <c r="O12"/>
      <c r="P12"/>
      <c r="Q12"/>
      <c r="R12"/>
      <c r="AL12" s="340"/>
      <c r="AM12" s="340"/>
      <c r="AN12" s="340"/>
      <c r="AO12" s="340"/>
      <c r="AP12" s="340"/>
      <c r="AQ12" s="340"/>
    </row>
    <row r="13" spans="1:43" ht="24.75" customHeight="1" x14ac:dyDescent="0.2">
      <c r="A13" s="579" t="s">
        <v>17</v>
      </c>
      <c r="B13" s="580"/>
      <c r="C13" s="112"/>
      <c r="D13" s="112"/>
      <c r="E13" s="112"/>
      <c r="F13" s="48"/>
      <c r="G13" s="28"/>
      <c r="H13"/>
      <c r="I13"/>
      <c r="J13"/>
      <c r="K13"/>
      <c r="L13" s="2"/>
      <c r="M13" s="28"/>
      <c r="N13"/>
      <c r="O13"/>
      <c r="P13"/>
      <c r="Q13"/>
      <c r="R13"/>
      <c r="AP13" s="340"/>
      <c r="AQ13" s="340"/>
    </row>
    <row r="14" spans="1:43" s="345" customFormat="1" ht="17.100000000000001" customHeight="1" x14ac:dyDescent="0.2">
      <c r="A14" s="550" t="s">
        <v>256</v>
      </c>
      <c r="B14" s="224"/>
      <c r="C14" s="110"/>
      <c r="D14" s="10"/>
      <c r="E14" s="10"/>
      <c r="F14" s="10"/>
      <c r="G14" s="11"/>
      <c r="H14" s="225"/>
      <c r="I14" s="225"/>
      <c r="J14" s="225"/>
      <c r="K14" s="225"/>
      <c r="L14" s="226"/>
      <c r="M14" s="226"/>
      <c r="N14" s="227"/>
      <c r="O14" s="226"/>
      <c r="P14" s="226"/>
      <c r="Q14" s="226"/>
      <c r="R14" s="226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</row>
    <row r="15" spans="1:43" s="345" customFormat="1" ht="17.100000000000001" customHeight="1" x14ac:dyDescent="0.2">
      <c r="A15" s="223" t="s">
        <v>18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27"/>
      <c r="O15" s="226"/>
      <c r="P15" s="226"/>
      <c r="Q15" s="226"/>
      <c r="R15" s="226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</row>
    <row r="16" spans="1:43" s="345" customFormat="1" ht="17.100000000000001" customHeight="1" x14ac:dyDescent="0.2">
      <c r="A16" s="229" t="s">
        <v>19</v>
      </c>
      <c r="B16" s="231"/>
      <c r="C16" s="232"/>
      <c r="D16" s="233"/>
      <c r="E16" s="113"/>
      <c r="F16" s="231"/>
      <c r="G16" s="226"/>
      <c r="H16" s="228"/>
      <c r="I16" s="234"/>
      <c r="J16" s="235"/>
      <c r="K16" s="236" t="s">
        <v>20</v>
      </c>
      <c r="L16" s="235"/>
      <c r="M16" s="237"/>
      <c r="N16" s="227"/>
      <c r="O16" s="227"/>
      <c r="P16" s="226"/>
      <c r="Q16" s="226"/>
      <c r="R16" s="226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</row>
    <row r="17" spans="1:42" s="340" customFormat="1" ht="63.75" x14ac:dyDescent="0.2">
      <c r="A17" s="588" t="s">
        <v>21</v>
      </c>
      <c r="B17" s="589"/>
      <c r="C17" s="58" t="s">
        <v>22</v>
      </c>
      <c r="D17" s="58" t="s">
        <v>23</v>
      </c>
      <c r="E17" s="241" t="s">
        <v>24</v>
      </c>
      <c r="F17" s="238" t="s">
        <v>255</v>
      </c>
      <c r="G17" s="238" t="s">
        <v>25</v>
      </c>
      <c r="H17" s="238" t="s">
        <v>26</v>
      </c>
      <c r="I17" s="247" t="s">
        <v>27</v>
      </c>
      <c r="J17" s="247" t="s">
        <v>28</v>
      </c>
      <c r="K17" s="247" t="s">
        <v>29</v>
      </c>
      <c r="L17" s="247" t="s">
        <v>30</v>
      </c>
      <c r="M17" s="247" t="s">
        <v>31</v>
      </c>
      <c r="N17" s="7"/>
      <c r="O17" s="7"/>
      <c r="P17" s="7"/>
      <c r="Q17" s="28"/>
      <c r="R17" s="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2" ht="18.95" customHeight="1" x14ac:dyDescent="0.2">
      <c r="A18" s="62" t="s">
        <v>32</v>
      </c>
      <c r="B18" s="90"/>
      <c r="C18" s="325">
        <f>IF($C$24&gt;0,$E18/$E$24*$C$24,0)</f>
        <v>0</v>
      </c>
      <c r="D18" s="325">
        <f>IF($D$24&gt;0,E18/$E$24*$D$24,0)</f>
        <v>0</v>
      </c>
      <c r="E18" s="242"/>
      <c r="F18" s="242"/>
      <c r="G18" s="239"/>
      <c r="H18" s="239"/>
      <c r="I18" s="245"/>
      <c r="J18" s="331">
        <f t="shared" ref="J18:J23" si="0">DATE(YEAR(I18),(MONTH(I18)+K18),DAY(I18))</f>
        <v>0</v>
      </c>
      <c r="K18" s="248"/>
      <c r="L18" s="248"/>
      <c r="M18" s="248"/>
      <c r="N18"/>
      <c r="O18"/>
      <c r="P18"/>
      <c r="Q18"/>
      <c r="R18"/>
      <c r="AO18" s="340"/>
      <c r="AP18" s="340"/>
    </row>
    <row r="19" spans="1:42" ht="18.95" customHeight="1" x14ac:dyDescent="0.2">
      <c r="A19" s="63" t="s">
        <v>33</v>
      </c>
      <c r="B19" s="90"/>
      <c r="C19" s="325">
        <f t="shared" ref="C19:C23" si="1">IF($C$24&gt;0,$E19/$E$24*$C$24,0)</f>
        <v>0</v>
      </c>
      <c r="D19" s="325">
        <f t="shared" ref="D19:D23" si="2">IF($D$24&gt;0,E19/$E$24*$D$24,0)</f>
        <v>0</v>
      </c>
      <c r="E19" s="242"/>
      <c r="F19" s="240"/>
      <c r="G19" s="240"/>
      <c r="H19" s="240"/>
      <c r="I19" s="245"/>
      <c r="J19" s="331">
        <f t="shared" si="0"/>
        <v>0</v>
      </c>
      <c r="K19" s="248"/>
      <c r="L19" s="248"/>
      <c r="M19" s="248"/>
      <c r="N19"/>
      <c r="O19"/>
      <c r="P19"/>
      <c r="Q19"/>
      <c r="R19"/>
      <c r="AO19" s="340"/>
      <c r="AP19" s="340"/>
    </row>
    <row r="20" spans="1:42" ht="18.95" customHeight="1" x14ac:dyDescent="0.2">
      <c r="A20" s="63" t="s">
        <v>34</v>
      </c>
      <c r="B20" s="90"/>
      <c r="C20" s="325">
        <f t="shared" si="1"/>
        <v>0</v>
      </c>
      <c r="D20" s="325">
        <f t="shared" si="2"/>
        <v>0</v>
      </c>
      <c r="E20" s="242"/>
      <c r="F20" s="240"/>
      <c r="G20" s="240"/>
      <c r="H20" s="240"/>
      <c r="I20" s="245"/>
      <c r="J20" s="331">
        <f t="shared" si="0"/>
        <v>0</v>
      </c>
      <c r="K20" s="248"/>
      <c r="L20" s="248"/>
      <c r="M20" s="248"/>
      <c r="N20"/>
      <c r="O20"/>
      <c r="P20"/>
      <c r="Q20"/>
      <c r="R20"/>
      <c r="AO20" s="340"/>
      <c r="AP20" s="340"/>
    </row>
    <row r="21" spans="1:42" ht="18.95" customHeight="1" x14ac:dyDescent="0.2">
      <c r="A21" s="63" t="s">
        <v>35</v>
      </c>
      <c r="B21" s="90"/>
      <c r="C21" s="325">
        <f t="shared" si="1"/>
        <v>0</v>
      </c>
      <c r="D21" s="325">
        <f t="shared" si="2"/>
        <v>0</v>
      </c>
      <c r="E21" s="243"/>
      <c r="F21" s="240"/>
      <c r="G21" s="240"/>
      <c r="H21" s="240"/>
      <c r="I21" s="246"/>
      <c r="J21" s="331">
        <f t="shared" si="0"/>
        <v>0</v>
      </c>
      <c r="K21" s="248"/>
      <c r="L21" s="248"/>
      <c r="M21" s="248"/>
      <c r="N21"/>
      <c r="O21"/>
      <c r="P21"/>
      <c r="Q21"/>
      <c r="R21"/>
      <c r="AO21" s="340"/>
      <c r="AP21" s="340"/>
    </row>
    <row r="22" spans="1:42" ht="18.95" customHeight="1" x14ac:dyDescent="0.2">
      <c r="A22" s="63" t="s">
        <v>36</v>
      </c>
      <c r="B22" s="90"/>
      <c r="C22" s="325">
        <f t="shared" si="1"/>
        <v>0</v>
      </c>
      <c r="D22" s="325">
        <f t="shared" si="2"/>
        <v>0</v>
      </c>
      <c r="E22" s="243"/>
      <c r="F22" s="240"/>
      <c r="G22" s="240"/>
      <c r="H22" s="240"/>
      <c r="I22" s="246"/>
      <c r="J22" s="331">
        <f t="shared" si="0"/>
        <v>0</v>
      </c>
      <c r="K22" s="248"/>
      <c r="L22" s="248"/>
      <c r="M22" s="249"/>
      <c r="N22"/>
      <c r="O22"/>
      <c r="P22"/>
      <c r="Q22"/>
      <c r="R22"/>
      <c r="AO22" s="340"/>
      <c r="AP22" s="340"/>
    </row>
    <row r="23" spans="1:42" ht="18.95" customHeight="1" thickBot="1" x14ac:dyDescent="0.25">
      <c r="A23" s="63" t="s">
        <v>37</v>
      </c>
      <c r="B23" s="90"/>
      <c r="C23" s="326">
        <f t="shared" si="1"/>
        <v>0</v>
      </c>
      <c r="D23" s="326">
        <f t="shared" si="2"/>
        <v>0</v>
      </c>
      <c r="E23" s="244"/>
      <c r="F23" s="240"/>
      <c r="G23" s="240"/>
      <c r="H23" s="240"/>
      <c r="I23" s="246"/>
      <c r="J23" s="331">
        <f t="shared" si="0"/>
        <v>0</v>
      </c>
      <c r="K23" s="248"/>
      <c r="L23" s="248"/>
      <c r="M23" s="249"/>
      <c r="N23"/>
      <c r="O23"/>
      <c r="P23"/>
      <c r="Q23"/>
      <c r="R23"/>
      <c r="AO23" s="340"/>
      <c r="AP23" s="340"/>
    </row>
    <row r="24" spans="1:42" ht="18" customHeight="1" thickBot="1" x14ac:dyDescent="0.25">
      <c r="A24" s="91"/>
      <c r="B24" s="92" t="s">
        <v>38</v>
      </c>
      <c r="C24" s="327">
        <f>IF(E24-(E5*0.2)&lt;100000,E24,IF((E$5*0.2)&lt;E24,E$5*0.2,E24))</f>
        <v>0</v>
      </c>
      <c r="D24" s="328">
        <f>E24-C24</f>
        <v>0</v>
      </c>
      <c r="E24" s="329">
        <f>SUM(E18:E23)</f>
        <v>0</v>
      </c>
      <c r="F24" s="329">
        <f>SUM(F18:F23)</f>
        <v>0</v>
      </c>
      <c r="G24" s="329">
        <f>SUM(G18:G23)</f>
        <v>0</v>
      </c>
      <c r="H24" s="329">
        <f>SUM(H18:H23)</f>
        <v>0</v>
      </c>
      <c r="I24" s="60"/>
      <c r="J24" s="60"/>
      <c r="K24" s="60"/>
      <c r="L24" s="60"/>
      <c r="M24"/>
      <c r="N24"/>
      <c r="O24"/>
      <c r="P24"/>
      <c r="Q24"/>
      <c r="R24"/>
      <c r="AO24" s="340"/>
      <c r="AP24" s="340"/>
    </row>
    <row r="25" spans="1:42" s="347" customFormat="1" ht="22.5" customHeight="1" thickBot="1" x14ac:dyDescent="0.25">
      <c r="A25" s="29"/>
      <c r="B25" s="29"/>
      <c r="C25" s="583" t="s">
        <v>39</v>
      </c>
      <c r="D25" s="583"/>
      <c r="E25" s="330">
        <f>IF(E10="Yes",E11,0)</f>
        <v>0</v>
      </c>
      <c r="F25" s="61"/>
      <c r="G25" s="61"/>
      <c r="H25" s="61"/>
      <c r="I25" s="61"/>
      <c r="J25" s="61"/>
      <c r="K25" s="61"/>
      <c r="L25" s="6"/>
      <c r="M25" s="2"/>
      <c r="N25" s="2"/>
      <c r="O25" s="2"/>
      <c r="P25" s="2"/>
      <c r="Q25" s="2"/>
      <c r="R25" s="2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</row>
    <row r="26" spans="1:42" ht="20.100000000000001" customHeight="1" x14ac:dyDescent="0.2">
      <c r="A26" s="33"/>
      <c r="B26" s="21"/>
      <c r="C26" s="22"/>
      <c r="D26" s="22"/>
      <c r="E26" s="22"/>
      <c r="F26" s="22"/>
      <c r="G26" s="23"/>
      <c r="H26" s="23"/>
      <c r="I26" s="24"/>
      <c r="J26" s="4"/>
      <c r="K26" s="4"/>
      <c r="L26" s="4"/>
      <c r="M26"/>
      <c r="N26"/>
      <c r="O26"/>
      <c r="P26"/>
      <c r="Q26"/>
      <c r="R26"/>
      <c r="AO26" s="340"/>
      <c r="AP26" s="340"/>
    </row>
    <row r="27" spans="1:42" s="345" customFormat="1" ht="21.75" customHeight="1" x14ac:dyDescent="0.2">
      <c r="A27" s="581" t="s">
        <v>40</v>
      </c>
      <c r="B27" s="567"/>
      <c r="C27" s="568"/>
      <c r="D27" s="568"/>
      <c r="E27" s="568"/>
      <c r="F27" s="568"/>
      <c r="G27" s="568"/>
      <c r="H27" s="568"/>
      <c r="I27" s="568"/>
      <c r="J27" s="568"/>
      <c r="K27" s="568"/>
      <c r="L27" s="569"/>
      <c r="M27" s="570"/>
      <c r="N27" s="227"/>
      <c r="O27" s="226"/>
      <c r="P27" s="226"/>
      <c r="Q27" s="226"/>
      <c r="R27" s="226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</row>
    <row r="28" spans="1:42" s="345" customFormat="1" ht="21.75" customHeight="1" x14ac:dyDescent="0.2">
      <c r="A28" s="582"/>
      <c r="B28" s="571"/>
      <c r="C28" s="572"/>
      <c r="D28" s="572"/>
      <c r="E28" s="572"/>
      <c r="F28" s="572"/>
      <c r="G28" s="572"/>
      <c r="H28" s="572"/>
      <c r="I28" s="572"/>
      <c r="J28" s="572"/>
      <c r="K28" s="572"/>
      <c r="L28" s="573"/>
      <c r="M28" s="574"/>
      <c r="N28" s="227"/>
      <c r="O28" s="226"/>
      <c r="P28" s="226"/>
      <c r="Q28" s="226"/>
      <c r="R28" s="226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</row>
    <row r="29" spans="1:42" ht="15.7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/>
      <c r="M29"/>
      <c r="N29"/>
      <c r="O29"/>
      <c r="P29"/>
      <c r="Q29"/>
      <c r="R29"/>
      <c r="AL29" s="340"/>
      <c r="AM29" s="340"/>
      <c r="AN29" s="340"/>
      <c r="AO29" s="340"/>
      <c r="AP29" s="340"/>
    </row>
    <row r="30" spans="1:42" s="173" customFormat="1" ht="15.75" x14ac:dyDescent="0.25">
      <c r="A30" s="171" t="s">
        <v>41</v>
      </c>
      <c r="B30" s="170"/>
      <c r="C30" s="171"/>
      <c r="D30" s="172"/>
      <c r="E30" s="172"/>
      <c r="F30" s="172"/>
      <c r="H30" s="565" t="s">
        <v>42</v>
      </c>
      <c r="I30" s="566"/>
      <c r="J30"/>
      <c r="K30" s="174"/>
      <c r="L30" s="121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</row>
    <row r="31" spans="1:42" ht="51.75" customHeight="1" x14ac:dyDescent="0.2">
      <c r="A31" s="590" t="s">
        <v>43</v>
      </c>
      <c r="B31" s="591"/>
      <c r="C31" s="58" t="s">
        <v>44</v>
      </c>
      <c r="D31" s="58" t="s">
        <v>45</v>
      </c>
      <c r="E31" s="161" t="s">
        <v>46</v>
      </c>
      <c r="F31" s="161" t="s">
        <v>47</v>
      </c>
      <c r="G31" s="238" t="s">
        <v>48</v>
      </c>
      <c r="H31" s="238" t="s">
        <v>49</v>
      </c>
      <c r="I31" s="238" t="s">
        <v>50</v>
      </c>
      <c r="J31" s="528" t="s">
        <v>51</v>
      </c>
      <c r="K31" s="238" t="s">
        <v>52</v>
      </c>
      <c r="L31" s="528" t="s">
        <v>53</v>
      </c>
      <c r="M31"/>
      <c r="N31"/>
      <c r="O31" s="65" t="s">
        <v>54</v>
      </c>
      <c r="P31" s="66" t="s">
        <v>55</v>
      </c>
      <c r="Q31" s="66" t="s">
        <v>56</v>
      </c>
      <c r="R31"/>
      <c r="AP31" s="340"/>
    </row>
    <row r="32" spans="1:42" x14ac:dyDescent="0.2">
      <c r="A32" s="313" t="s">
        <v>32</v>
      </c>
      <c r="B32" s="314">
        <f>$B$18</f>
        <v>0</v>
      </c>
      <c r="C32" s="315">
        <f t="shared" ref="C32:C37" si="3">IF($C$38&gt;0,ROUND(E32/$E$38*$C$38,0),0)</f>
        <v>0</v>
      </c>
      <c r="D32" s="315">
        <f t="shared" ref="D32:D37" si="4">IF($D$38&gt;0,E32/$E$38*$D$38,0)</f>
        <v>0</v>
      </c>
      <c r="E32" s="316">
        <f>IF($E$38=0,0,ROUND(+E18/E$24*E$38,0))</f>
        <v>0</v>
      </c>
      <c r="F32" s="516" t="str">
        <f t="shared" ref="F32:F37" si="5">IF($E$5=0,"",(C32+D32)/$E$5)</f>
        <v/>
      </c>
      <c r="G32" s="317">
        <f>$H$44</f>
        <v>0</v>
      </c>
      <c r="H32" s="317" t="s">
        <v>57</v>
      </c>
      <c r="I32" s="317" t="s">
        <v>57</v>
      </c>
      <c r="J32" s="318" t="str">
        <f>IF($E$5=0,"",(G32+N(H32)+N(I32))/E$5)</f>
        <v/>
      </c>
      <c r="K32" s="319"/>
      <c r="L32" s="317">
        <f>MAX(F18+G18+H18-G32-N(H32)-N(I32),0)</f>
        <v>0</v>
      </c>
      <c r="M32"/>
      <c r="N32"/>
      <c r="O32" s="93">
        <f t="shared" ref="O32:O37" si="6">IF(K18&lt;84,K18,84)</f>
        <v>0</v>
      </c>
      <c r="P32" s="67"/>
      <c r="Q32" s="95" t="s">
        <v>57</v>
      </c>
      <c r="R32"/>
      <c r="AP32" s="340"/>
    </row>
    <row r="33" spans="1:40" x14ac:dyDescent="0.2">
      <c r="A33" s="313" t="s">
        <v>33</v>
      </c>
      <c r="B33" s="314">
        <f>$B$19</f>
        <v>0</v>
      </c>
      <c r="C33" s="315">
        <f t="shared" si="3"/>
        <v>0</v>
      </c>
      <c r="D33" s="315">
        <f t="shared" si="4"/>
        <v>0</v>
      </c>
      <c r="E33" s="316">
        <f t="shared" ref="E33:E37" si="7">IF($E$38=0,0,ROUND(+E19/E$24*E$38,0))</f>
        <v>0</v>
      </c>
      <c r="F33" s="516" t="str">
        <f t="shared" si="5"/>
        <v/>
      </c>
      <c r="G33" s="317">
        <f>$H$46</f>
        <v>0</v>
      </c>
      <c r="H33" s="317" t="str">
        <f>IF($G$24=0,"",ROUND((G19*H$38/G$24),0))</f>
        <v/>
      </c>
      <c r="I33" s="317" t="str">
        <f>IF($I$38&gt;0,MIN(H19,(H19/$H$24)*I$38),"")</f>
        <v/>
      </c>
      <c r="J33" s="318" t="str">
        <f t="shared" ref="J33:J37" si="8">IF($E$5=0,"",(G33+N(H33)+N(I33))/E$5)</f>
        <v/>
      </c>
      <c r="K33" s="320"/>
      <c r="L33" s="317">
        <f t="shared" ref="L33:L37" si="9">MAX(F19+G19+H19-G33-N(H33)-N(I33),0)</f>
        <v>0</v>
      </c>
      <c r="M33"/>
      <c r="N33"/>
      <c r="O33" s="93">
        <f t="shared" si="6"/>
        <v>0</v>
      </c>
      <c r="P33" s="67"/>
      <c r="Q33" s="94">
        <f>IF(I19&gt;DATE(YEAR(I$18),MONTH(I$18)+P32,DAY(I$18)),I19,DATE(YEAR(I$18),MONTH(I$18)+P32,DAY(I$18)))</f>
        <v>0</v>
      </c>
      <c r="R33"/>
    </row>
    <row r="34" spans="1:40" x14ac:dyDescent="0.2">
      <c r="A34" s="313" t="s">
        <v>34</v>
      </c>
      <c r="B34" s="314">
        <f>$B$20</f>
        <v>0</v>
      </c>
      <c r="C34" s="315">
        <f t="shared" si="3"/>
        <v>0</v>
      </c>
      <c r="D34" s="315">
        <f t="shared" si="4"/>
        <v>0</v>
      </c>
      <c r="E34" s="316">
        <f t="shared" si="7"/>
        <v>0</v>
      </c>
      <c r="F34" s="516" t="str">
        <f t="shared" si="5"/>
        <v/>
      </c>
      <c r="G34" s="317">
        <f>$H$48</f>
        <v>0</v>
      </c>
      <c r="H34" s="317" t="str">
        <f>IF($G$24=0,"",ROUND((G20*H$38/G$24),0))</f>
        <v/>
      </c>
      <c r="I34" s="317" t="str">
        <f>IF($I$38&gt;0,MIN(H20,(H20/$H$24)*I$38),"")</f>
        <v/>
      </c>
      <c r="J34" s="318" t="str">
        <f t="shared" si="8"/>
        <v/>
      </c>
      <c r="K34" s="320"/>
      <c r="L34" s="317">
        <f t="shared" si="9"/>
        <v>0</v>
      </c>
      <c r="M34"/>
      <c r="N34"/>
      <c r="O34" s="93">
        <f t="shared" si="6"/>
        <v>0</v>
      </c>
      <c r="P34" s="67"/>
      <c r="Q34" s="94">
        <f>IF(I20&gt;DATE(YEAR(I$18),MONTH(I$18)+P32+P33,DAY(I$18)),I20,DATE(YEAR(I$18),MONTH(I$18)+P32+P$33,DAY(I$18)))</f>
        <v>0</v>
      </c>
      <c r="R34"/>
    </row>
    <row r="35" spans="1:40" x14ac:dyDescent="0.2">
      <c r="A35" s="313" t="s">
        <v>35</v>
      </c>
      <c r="B35" s="314">
        <f>$B$21</f>
        <v>0</v>
      </c>
      <c r="C35" s="315">
        <f t="shared" si="3"/>
        <v>0</v>
      </c>
      <c r="D35" s="315">
        <f t="shared" si="4"/>
        <v>0</v>
      </c>
      <c r="E35" s="316">
        <f t="shared" si="7"/>
        <v>0</v>
      </c>
      <c r="F35" s="516" t="str">
        <f t="shared" si="5"/>
        <v/>
      </c>
      <c r="G35" s="317">
        <f>$H$50</f>
        <v>0</v>
      </c>
      <c r="H35" s="317" t="str">
        <f>IF($G$24=0,"",ROUND((G21*H$38/G$24),0))</f>
        <v/>
      </c>
      <c r="I35" s="317" t="str">
        <f>IF($I$38&gt;0,MIN(H21,(H21/$H$24)*I$38),"")</f>
        <v/>
      </c>
      <c r="J35" s="318" t="str">
        <f t="shared" si="8"/>
        <v/>
      </c>
      <c r="K35" s="320"/>
      <c r="L35" s="317">
        <f t="shared" si="9"/>
        <v>0</v>
      </c>
      <c r="M35"/>
      <c r="N35"/>
      <c r="O35" s="93">
        <f t="shared" si="6"/>
        <v>0</v>
      </c>
      <c r="P35" s="67"/>
      <c r="Q35" s="94">
        <f>IF(I21&gt;DATE(YEAR(I$18),MONTH(I$18)+P$32+P$33+P34,DAY(I$18)),I21,DATE(YEAR(I$18),MONTH(I$18)+P$32+P$33+P34,DAY(I$18)))</f>
        <v>0</v>
      </c>
      <c r="R35"/>
    </row>
    <row r="36" spans="1:40" x14ac:dyDescent="0.2">
      <c r="A36" s="313" t="s">
        <v>36</v>
      </c>
      <c r="B36" s="314">
        <f>$B$22</f>
        <v>0</v>
      </c>
      <c r="C36" s="315">
        <f t="shared" si="3"/>
        <v>0</v>
      </c>
      <c r="D36" s="315">
        <f t="shared" si="4"/>
        <v>0</v>
      </c>
      <c r="E36" s="316">
        <f t="shared" si="7"/>
        <v>0</v>
      </c>
      <c r="F36" s="516" t="str">
        <f t="shared" si="5"/>
        <v/>
      </c>
      <c r="G36" s="317">
        <f>$H$52</f>
        <v>0</v>
      </c>
      <c r="H36" s="317" t="str">
        <f>IF($G$24=0,"",ROUND((G22*H$38/G$24),0))</f>
        <v/>
      </c>
      <c r="I36" s="317" t="str">
        <f>IF($I$38&gt;0,MIN(H22,(H22/$H$24)*I$38),"")</f>
        <v/>
      </c>
      <c r="J36" s="318" t="str">
        <f t="shared" si="8"/>
        <v/>
      </c>
      <c r="K36" s="320"/>
      <c r="L36" s="317">
        <f t="shared" si="9"/>
        <v>0</v>
      </c>
      <c r="M36"/>
      <c r="N36"/>
      <c r="O36" s="93">
        <f t="shared" si="6"/>
        <v>0</v>
      </c>
      <c r="P36" s="67"/>
      <c r="Q36" s="94">
        <f>IF(I22&gt;DATE(YEAR(I$18),MONTH(I$18)+P$32+P$33+P34+P35,DAY(I$18)),I22,DATE(YEAR(I$18),MONTH(I$18)+P$32+P$33+P34+P35,DAY(I$18)))</f>
        <v>0</v>
      </c>
      <c r="R36"/>
    </row>
    <row r="37" spans="1:40" ht="15.75" thickBot="1" x14ac:dyDescent="0.25">
      <c r="A37" s="289" t="s">
        <v>37</v>
      </c>
      <c r="B37" s="321">
        <f>$B$23</f>
        <v>0</v>
      </c>
      <c r="C37" s="322">
        <f t="shared" si="3"/>
        <v>0</v>
      </c>
      <c r="D37" s="322">
        <f t="shared" si="4"/>
        <v>0</v>
      </c>
      <c r="E37" s="323">
        <f t="shared" si="7"/>
        <v>0</v>
      </c>
      <c r="F37" s="516" t="str">
        <f t="shared" si="5"/>
        <v/>
      </c>
      <c r="G37" s="317">
        <f>$H$54</f>
        <v>0</v>
      </c>
      <c r="H37" s="317" t="str">
        <f>IF($G$24=0,"",ROUND((G23*H$38/G$24),0))</f>
        <v/>
      </c>
      <c r="I37" s="317" t="str">
        <f>IF($I$38&gt;0,MIN(H23,(H23/$H$24)*I$38),"")</f>
        <v/>
      </c>
      <c r="J37" s="318" t="str">
        <f t="shared" si="8"/>
        <v/>
      </c>
      <c r="K37" s="324"/>
      <c r="L37" s="317">
        <f t="shared" si="9"/>
        <v>0</v>
      </c>
      <c r="M37"/>
      <c r="N37"/>
      <c r="O37" s="93">
        <f t="shared" si="6"/>
        <v>0</v>
      </c>
      <c r="P37" s="67"/>
      <c r="Q37" s="94">
        <f>IF(I23&gt;DATE(YEAR(I$18),MONTH(I$18)+P$32+P$33+P34+P35+P36,DAY(I$18)),I23,DATE(YEAR(I$18),MONTH(I$18)+P$32+P$33+P34+P35+P36,DAY(I$18)))</f>
        <v>0</v>
      </c>
      <c r="R37"/>
    </row>
    <row r="38" spans="1:40" s="340" customFormat="1" ht="15.75" thickBot="1" x14ac:dyDescent="0.25">
      <c r="A38" s="103"/>
      <c r="B38" s="104" t="s">
        <v>58</v>
      </c>
      <c r="C38" s="310">
        <f>IF(E38-($E$5*0.2)&lt;100000,E38,IF((E5*0.2)&lt;E38,ROUND(E5*0.2,0),E38))</f>
        <v>0</v>
      </c>
      <c r="D38" s="310">
        <f>E38-C38</f>
        <v>0</v>
      </c>
      <c r="E38" s="310">
        <f>IF(MAX(F$84:F$85)&lt;E24,MAX(F$84:F$85),E24)</f>
        <v>0</v>
      </c>
      <c r="F38" s="517">
        <f>SUM(F32:F37)</f>
        <v>0</v>
      </c>
      <c r="G38" s="311">
        <f>SUM(G32:G37)</f>
        <v>0</v>
      </c>
      <c r="H38" s="311">
        <f>MIN(SUM(G60:G79),G24)</f>
        <v>0</v>
      </c>
      <c r="I38" s="311">
        <f>IF($G$38=0,0,IF(H$24&lt;MAX(H60:H63),H$24,MAX(H60:H63)))</f>
        <v>0</v>
      </c>
      <c r="J38" s="312">
        <f>SUM(J32:J37)</f>
        <v>0</v>
      </c>
      <c r="K38" s="311">
        <f>G38+I38+H38</f>
        <v>0</v>
      </c>
      <c r="L38" s="311">
        <f>SUM(L33:L37)</f>
        <v>0</v>
      </c>
      <c r="M38"/>
      <c r="N38" s="28"/>
      <c r="O38"/>
      <c r="P38"/>
      <c r="Q38"/>
      <c r="R38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</row>
    <row r="39" spans="1:40" s="347" customFormat="1" ht="22.5" customHeight="1" thickBot="1" x14ac:dyDescent="0.25">
      <c r="A39" s="29"/>
      <c r="B39" s="29"/>
      <c r="C39" s="561" t="s">
        <v>39</v>
      </c>
      <c r="D39" s="561"/>
      <c r="E39" s="310">
        <f>IF(E10="Yes",MIN(E11,MAX(I85:I85)),"")</f>
        <v>0</v>
      </c>
      <c r="F39" s="518" t="str">
        <f>IF(AND($E$10="Yes",$E$11&gt;0),($E$39)/$E$5,"")</f>
        <v/>
      </c>
      <c r="G39" s="61"/>
      <c r="H39" s="61"/>
      <c r="I39"/>
      <c r="J39"/>
      <c r="K39"/>
      <c r="L39" s="6"/>
      <c r="M39"/>
      <c r="N39" s="2"/>
      <c r="O39" s="2"/>
      <c r="P39" s="2"/>
      <c r="Q39" s="2"/>
      <c r="R39" s="2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</row>
    <row r="40" spans="1:40" ht="20.100000000000001" customHeight="1" x14ac:dyDescent="0.2">
      <c r="A40" s="586" t="s">
        <v>59</v>
      </c>
      <c r="B40" s="587"/>
      <c r="C40" s="587"/>
      <c r="D40" s="587"/>
      <c r="E40" s="587"/>
      <c r="F40" s="222"/>
      <c r="G40" s="333"/>
      <c r="H40" s="545" t="str">
        <f>IF(AND($A$58&lt;6,$A$58&gt;1,G$38&gt;0,H$24&gt;0,E$5&gt;0),"ELF &amp; Distributor MMC / Threshold:","")</f>
        <v/>
      </c>
      <c r="I40" s="546" t="str">
        <f>IF(AND($A$58&lt;6,$A$58&gt;1,G$38&gt;0,H$24&gt;0,E$5&gt;0),SUM(G$38,N(H$38))/SUM(N(D$60),N(D$61),N(D$62),N(D$63)),"")</f>
        <v/>
      </c>
      <c r="J40" s="334"/>
      <c r="K40" s="335"/>
      <c r="L40" s="336"/>
      <c r="M40" s="337"/>
      <c r="N40"/>
      <c r="O40"/>
      <c r="P40"/>
      <c r="Q40"/>
      <c r="R40"/>
    </row>
    <row r="41" spans="1:40" x14ac:dyDescent="0.2">
      <c r="B41" s="222"/>
      <c r="C41" s="222"/>
      <c r="D41" s="222"/>
      <c r="E41" s="222"/>
      <c r="F41" s="222"/>
      <c r="G41" s="222"/>
      <c r="H41" s="222"/>
      <c r="I41" s="252"/>
      <c r="J41" s="252"/>
      <c r="K41" s="45"/>
      <c r="L41" s="2"/>
      <c r="M41"/>
      <c r="N41"/>
      <c r="O41"/>
      <c r="P41"/>
      <c r="Q41"/>
      <c r="R41"/>
    </row>
    <row r="42" spans="1:40" x14ac:dyDescent="0.2">
      <c r="A42" s="47"/>
      <c r="B42" s="47"/>
      <c r="C42" s="47"/>
      <c r="D42"/>
      <c r="E42"/>
      <c r="F42"/>
      <c r="G42"/>
      <c r="H42"/>
      <c r="I42" s="45"/>
      <c r="J42" s="45"/>
      <c r="K42" s="45"/>
      <c r="L42" s="3" t="s">
        <v>60</v>
      </c>
      <c r="M42"/>
      <c r="N42"/>
      <c r="O42"/>
      <c r="P42"/>
      <c r="Q42"/>
      <c r="R42"/>
    </row>
    <row r="43" spans="1:40" s="349" customFormat="1" ht="20.100000000000001" customHeight="1" x14ac:dyDescent="0.2">
      <c r="A43" s="84" t="s">
        <v>61</v>
      </c>
      <c r="B43" s="83"/>
      <c r="C43" s="42"/>
      <c r="D43" s="43"/>
      <c r="E43" s="43"/>
      <c r="F43" s="43"/>
      <c r="G43" s="44"/>
      <c r="H43" s="44"/>
      <c r="I43" s="44"/>
      <c r="J43" s="44"/>
      <c r="K43" s="44"/>
      <c r="L43" s="38"/>
      <c r="M43" s="41"/>
      <c r="N43" s="39"/>
      <c r="O43" s="39"/>
      <c r="P43" s="39"/>
      <c r="Q43" s="39"/>
      <c r="R43" s="39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</row>
    <row r="44" spans="1:40" ht="20.100000000000001" customHeight="1" x14ac:dyDescent="0.2">
      <c r="A44" s="290" t="s">
        <v>32</v>
      </c>
      <c r="B44" s="291">
        <f>F$18</f>
        <v>0</v>
      </c>
      <c r="C44" s="292" t="s">
        <v>62</v>
      </c>
      <c r="D44" s="293">
        <f>$K$18</f>
        <v>0</v>
      </c>
      <c r="E44" s="292" t="s">
        <v>63</v>
      </c>
      <c r="F44" s="293">
        <f>IF(AND(A$58&gt;=10,A$58&lt;=17),84,72)</f>
        <v>72</v>
      </c>
      <c r="G44" s="292" t="s">
        <v>64</v>
      </c>
      <c r="H44" s="291">
        <f>IF(K18&lt;F44,B44,(B44/D44)*F44)</f>
        <v>0</v>
      </c>
      <c r="I44" s="578" t="s">
        <v>65</v>
      </c>
      <c r="J44" s="578"/>
      <c r="K44" s="294">
        <f>DATE(YEAR(I18),MONTH(I18)+F44,DAY(I18))</f>
        <v>2192</v>
      </c>
      <c r="L44" s="2"/>
      <c r="M44"/>
      <c r="N44"/>
      <c r="O44"/>
      <c r="P44"/>
      <c r="Q44"/>
      <c r="R44"/>
    </row>
    <row r="45" spans="1:40" ht="25.5" x14ac:dyDescent="0.2">
      <c r="A45" s="295"/>
      <c r="B45" s="296" t="s">
        <v>66</v>
      </c>
      <c r="C45" s="297"/>
      <c r="D45" s="298" t="s">
        <v>67</v>
      </c>
      <c r="E45" s="297"/>
      <c r="F45" s="299" t="s">
        <v>68</v>
      </c>
      <c r="G45" s="297"/>
      <c r="H45" s="296" t="s">
        <v>69</v>
      </c>
      <c r="I45" s="300"/>
      <c r="J45" s="300"/>
      <c r="K45" s="301"/>
      <c r="L45" s="2"/>
      <c r="M45"/>
      <c r="N45" s="99"/>
      <c r="O45"/>
      <c r="P45"/>
      <c r="Q45"/>
      <c r="R45"/>
    </row>
    <row r="46" spans="1:40" ht="20.100000000000001" customHeight="1" x14ac:dyDescent="0.2">
      <c r="A46" s="290" t="s">
        <v>33</v>
      </c>
      <c r="B46" s="291">
        <f>$F$19</f>
        <v>0</v>
      </c>
      <c r="C46" s="292" t="s">
        <v>62</v>
      </c>
      <c r="D46" s="293">
        <f>$K$19</f>
        <v>0</v>
      </c>
      <c r="E46" s="292" t="s">
        <v>63</v>
      </c>
      <c r="F46" s="302">
        <f>IF((YEAR(K$44)-YEAR(Q33))*12+MONTH(K$44)-MONTH(Q33)&lt;0,0,(YEAR(K$44)-YEAR(Q33))*12+MONTH(K$44)-MONTH(Q33))</f>
        <v>71</v>
      </c>
      <c r="G46" s="292" t="s">
        <v>64</v>
      </c>
      <c r="H46" s="291">
        <f>IF(F19=0,0,IF(D46&lt;F46,B46,(B46/D46)*F46))</f>
        <v>0</v>
      </c>
      <c r="I46" s="303"/>
      <c r="J46" s="303"/>
      <c r="K46" s="304"/>
      <c r="L46" s="2"/>
      <c r="M46"/>
      <c r="N46"/>
      <c r="O46"/>
      <c r="P46"/>
      <c r="Q46"/>
      <c r="R46"/>
    </row>
    <row r="47" spans="1:40" ht="25.5" x14ac:dyDescent="0.2">
      <c r="A47" s="305"/>
      <c r="B47" s="296" t="s">
        <v>66</v>
      </c>
      <c r="C47" s="306"/>
      <c r="D47" s="298" t="s">
        <v>67</v>
      </c>
      <c r="E47" s="306"/>
      <c r="F47" s="299" t="s">
        <v>68</v>
      </c>
      <c r="G47" s="297"/>
      <c r="H47" s="296" t="s">
        <v>69</v>
      </c>
      <c r="I47" s="300"/>
      <c r="J47" s="300"/>
      <c r="K47" s="301"/>
      <c r="L47" s="2"/>
      <c r="M47"/>
      <c r="N47"/>
      <c r="O47"/>
      <c r="P47"/>
      <c r="Q47"/>
      <c r="R47"/>
    </row>
    <row r="48" spans="1:40" ht="20.100000000000001" customHeight="1" x14ac:dyDescent="0.2">
      <c r="A48" s="290" t="s">
        <v>34</v>
      </c>
      <c r="B48" s="291">
        <f>$F$20</f>
        <v>0</v>
      </c>
      <c r="C48" s="292" t="s">
        <v>62</v>
      </c>
      <c r="D48" s="293">
        <f>$K$20</f>
        <v>0</v>
      </c>
      <c r="E48" s="292" t="s">
        <v>63</v>
      </c>
      <c r="F48" s="302">
        <f>IF((YEAR(K$44)-YEAR(Q34))*12+MONTH(K$44)-MONTH(Q34)&lt;0,0,(YEAR(K$44)-YEAR(Q34))*12+MONTH(K$44)-MONTH(Q34))</f>
        <v>71</v>
      </c>
      <c r="G48" s="292" t="s">
        <v>64</v>
      </c>
      <c r="H48" s="291">
        <f>IF(F20=0,0,IF(D48&lt;F48,B48,(B48/D48)*F48))</f>
        <v>0</v>
      </c>
      <c r="I48" s="303"/>
      <c r="J48" s="303"/>
      <c r="K48" s="304"/>
      <c r="L48" s="2"/>
      <c r="M48"/>
      <c r="N48"/>
      <c r="O48"/>
      <c r="P48"/>
      <c r="Q48"/>
      <c r="R48"/>
    </row>
    <row r="49" spans="1:42" ht="25.5" x14ac:dyDescent="0.2">
      <c r="A49" s="307"/>
      <c r="B49" s="296" t="s">
        <v>66</v>
      </c>
      <c r="C49" s="306"/>
      <c r="D49" s="298" t="s">
        <v>67</v>
      </c>
      <c r="E49" s="306"/>
      <c r="F49" s="299" t="s">
        <v>68</v>
      </c>
      <c r="G49" s="297"/>
      <c r="H49" s="296" t="s">
        <v>69</v>
      </c>
      <c r="I49" s="300"/>
      <c r="J49" s="300"/>
      <c r="K49" s="301"/>
      <c r="L49" s="2"/>
      <c r="M49"/>
      <c r="N49"/>
      <c r="O49"/>
      <c r="P49"/>
      <c r="Q49"/>
      <c r="R49"/>
      <c r="AP49" s="340"/>
    </row>
    <row r="50" spans="1:42" ht="20.100000000000001" customHeight="1" x14ac:dyDescent="0.2">
      <c r="A50" s="290" t="s">
        <v>35</v>
      </c>
      <c r="B50" s="291">
        <f>$F$21</f>
        <v>0</v>
      </c>
      <c r="C50" s="292" t="s">
        <v>62</v>
      </c>
      <c r="D50" s="302">
        <f>$K$21</f>
        <v>0</v>
      </c>
      <c r="E50" s="292" t="s">
        <v>63</v>
      </c>
      <c r="F50" s="302">
        <f>IF((YEAR(K$44)-YEAR(Q35))*12+MONTH(K$44)-MONTH(Q35)&lt;0,0,(YEAR(K$44)-YEAR(Q35))*12+MONTH(K$44)-MONTH(Q35))</f>
        <v>71</v>
      </c>
      <c r="G50" s="292" t="s">
        <v>64</v>
      </c>
      <c r="H50" s="291">
        <f>IF(F21=0,0,IF(D50&lt;F50,B50,(B50/D50)*F50))</f>
        <v>0</v>
      </c>
      <c r="I50" s="303"/>
      <c r="J50" s="303"/>
      <c r="K50" s="304"/>
      <c r="L50" s="2"/>
      <c r="M50"/>
      <c r="N50"/>
      <c r="O50"/>
      <c r="P50"/>
      <c r="Q50"/>
      <c r="R50"/>
      <c r="AP50" s="340"/>
    </row>
    <row r="51" spans="1:42" ht="25.5" x14ac:dyDescent="0.2">
      <c r="A51" s="295"/>
      <c r="B51" s="296" t="s">
        <v>66</v>
      </c>
      <c r="C51" s="306"/>
      <c r="D51" s="298" t="s">
        <v>67</v>
      </c>
      <c r="E51" s="306"/>
      <c r="F51" s="299" t="s">
        <v>68</v>
      </c>
      <c r="G51" s="297"/>
      <c r="H51" s="296" t="s">
        <v>69</v>
      </c>
      <c r="I51" s="300"/>
      <c r="J51" s="300"/>
      <c r="K51" s="301"/>
      <c r="L51" s="2"/>
      <c r="M51"/>
      <c r="N51"/>
      <c r="O51"/>
      <c r="P51"/>
      <c r="Q51"/>
      <c r="R51"/>
      <c r="AP51" s="340"/>
    </row>
    <row r="52" spans="1:42" ht="20.100000000000001" customHeight="1" x14ac:dyDescent="0.2">
      <c r="A52" s="290" t="s">
        <v>36</v>
      </c>
      <c r="B52" s="291">
        <f>$F$22</f>
        <v>0</v>
      </c>
      <c r="C52" s="292" t="s">
        <v>62</v>
      </c>
      <c r="D52" s="302">
        <f>$K$22</f>
        <v>0</v>
      </c>
      <c r="E52" s="292" t="s">
        <v>63</v>
      </c>
      <c r="F52" s="302">
        <f>IF((YEAR(K$44)-YEAR(Q36))*12+MONTH(K$44)-MONTH(Q36)&lt;0,0,(YEAR(K$44)-YEAR(Q36))*12+MONTH(K$44)-MONTH(Q36))</f>
        <v>71</v>
      </c>
      <c r="G52" s="292" t="s">
        <v>64</v>
      </c>
      <c r="H52" s="291">
        <f>IF(F22=0,0,IF(D52&lt;F52,B52,(B52/D52)*F52))</f>
        <v>0</v>
      </c>
      <c r="I52" s="303"/>
      <c r="J52" s="303"/>
      <c r="K52" s="304"/>
      <c r="L52" s="2"/>
      <c r="M52"/>
      <c r="N52"/>
      <c r="O52"/>
      <c r="P52"/>
      <c r="Q52"/>
      <c r="R52"/>
      <c r="AP52" s="340"/>
    </row>
    <row r="53" spans="1:42" ht="25.5" x14ac:dyDescent="0.2">
      <c r="A53" s="305"/>
      <c r="B53" s="296" t="s">
        <v>66</v>
      </c>
      <c r="C53" s="306"/>
      <c r="D53" s="298" t="s">
        <v>67</v>
      </c>
      <c r="E53" s="306"/>
      <c r="F53" s="299" t="s">
        <v>68</v>
      </c>
      <c r="G53" s="297"/>
      <c r="H53" s="296" t="s">
        <v>69</v>
      </c>
      <c r="I53" s="300"/>
      <c r="J53" s="300"/>
      <c r="K53" s="301"/>
      <c r="L53" s="2"/>
      <c r="M53"/>
      <c r="N53"/>
      <c r="O53"/>
      <c r="P53"/>
      <c r="Q53"/>
      <c r="R53"/>
      <c r="AP53" s="340"/>
    </row>
    <row r="54" spans="1:42" ht="20.100000000000001" customHeight="1" x14ac:dyDescent="0.2">
      <c r="A54" s="290" t="s">
        <v>37</v>
      </c>
      <c r="B54" s="291">
        <f>$F$23</f>
        <v>0</v>
      </c>
      <c r="C54" s="292" t="s">
        <v>62</v>
      </c>
      <c r="D54" s="302">
        <f>$K$23</f>
        <v>0</v>
      </c>
      <c r="E54" s="292" t="s">
        <v>63</v>
      </c>
      <c r="F54" s="302">
        <f>IF((YEAR(K$44)-YEAR(Q37))*12+MONTH(K$44)-MONTH(Q37)&lt;0,0,(YEAR(K$44)-YEAR(Q37))*12+MONTH(K$44)-MONTH(Q37))</f>
        <v>71</v>
      </c>
      <c r="G54" s="292" t="s">
        <v>64</v>
      </c>
      <c r="H54" s="291">
        <f>IF(F23=0,0,IF(D54&lt;F54,B54,(B54/D54)*F54))</f>
        <v>0</v>
      </c>
      <c r="I54" s="303"/>
      <c r="J54" s="303"/>
      <c r="K54" s="304"/>
      <c r="L54" s="2"/>
      <c r="M54"/>
      <c r="N54"/>
      <c r="O54"/>
      <c r="P54"/>
      <c r="Q54"/>
      <c r="R54"/>
      <c r="AP54" s="340"/>
    </row>
    <row r="55" spans="1:42" ht="25.5" x14ac:dyDescent="0.2">
      <c r="A55" s="308"/>
      <c r="B55" s="298" t="s">
        <v>66</v>
      </c>
      <c r="C55" s="303"/>
      <c r="D55" s="298" t="s">
        <v>67</v>
      </c>
      <c r="E55" s="303"/>
      <c r="F55" s="298" t="s">
        <v>68</v>
      </c>
      <c r="G55" s="298"/>
      <c r="H55" s="309" t="s">
        <v>69</v>
      </c>
      <c r="I55" s="303"/>
      <c r="J55" s="303"/>
      <c r="K55" s="304"/>
      <c r="L55" s="2"/>
      <c r="M55"/>
      <c r="N55"/>
      <c r="O55"/>
      <c r="P55"/>
      <c r="Q55"/>
      <c r="R55"/>
      <c r="AP55" s="340"/>
    </row>
    <row r="56" spans="1:4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/>
      <c r="N56"/>
      <c r="O56"/>
      <c r="P56"/>
      <c r="Q56"/>
      <c r="R56"/>
      <c r="AP56" s="340"/>
    </row>
    <row r="57" spans="1:42" s="349" customFormat="1" ht="25.9" customHeight="1" x14ac:dyDescent="0.2">
      <c r="A57" s="209" t="s">
        <v>70</v>
      </c>
      <c r="B57" s="40"/>
      <c r="C57" s="210"/>
      <c r="D57" s="526"/>
      <c r="E57" s="526"/>
      <c r="F57" s="526"/>
      <c r="G57" s="585" t="s">
        <v>71</v>
      </c>
      <c r="H57" s="585"/>
      <c r="I57" s="526"/>
      <c r="J57" s="526"/>
      <c r="K57" s="526"/>
      <c r="L57"/>
      <c r="M57"/>
      <c r="N57"/>
      <c r="O57" s="39"/>
      <c r="P57" s="39"/>
      <c r="Q57" s="39"/>
      <c r="R57" s="39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</row>
    <row r="58" spans="1:42" s="351" customFormat="1" ht="45" customHeight="1" x14ac:dyDescent="0.25">
      <c r="A58" s="532">
        <v>22</v>
      </c>
      <c r="B58" s="256" t="s">
        <v>72</v>
      </c>
      <c r="C58" s="257" t="s">
        <v>73</v>
      </c>
      <c r="D58" s="257" t="s">
        <v>74</v>
      </c>
      <c r="E58" s="257" t="s">
        <v>75</v>
      </c>
      <c r="F58" s="257" t="s">
        <v>76</v>
      </c>
      <c r="G58" s="258" t="s">
        <v>77</v>
      </c>
      <c r="H58" s="258" t="s">
        <v>78</v>
      </c>
      <c r="I58" s="533">
        <v>1</v>
      </c>
      <c r="J58" s="534"/>
      <c r="K58" s="534"/>
      <c r="L58"/>
      <c r="M58"/>
      <c r="N58"/>
      <c r="O58"/>
      <c r="P58"/>
      <c r="Q58"/>
      <c r="R58"/>
      <c r="S58" s="339"/>
      <c r="T58" s="339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</row>
    <row r="59" spans="1:42" s="20" customFormat="1" ht="20.100000000000001" customHeight="1" x14ac:dyDescent="0.2">
      <c r="A59" s="253">
        <f>IF(E9="Yes",25%,15%)</f>
        <v>0.15</v>
      </c>
      <c r="B59" s="584" t="s">
        <v>79</v>
      </c>
      <c r="C59" s="584"/>
      <c r="D59" s="259"/>
      <c r="E59" s="259"/>
      <c r="F59" s="259"/>
      <c r="G59" s="259"/>
      <c r="H59" s="260"/>
      <c r="I59" s="535"/>
      <c r="J59" s="536"/>
      <c r="K59" s="537"/>
      <c r="L59" s="199"/>
      <c r="M59"/>
      <c r="N59"/>
      <c r="O59" s="3"/>
      <c r="P59" s="199"/>
      <c r="Q59" s="3"/>
      <c r="R59" s="7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42" s="340" customFormat="1" ht="45" customHeight="1" x14ac:dyDescent="0.2">
      <c r="A60" s="254"/>
      <c r="B60" s="261" t="s">
        <v>80</v>
      </c>
      <c r="C60" s="261" t="s">
        <v>81</v>
      </c>
      <c r="D60" s="262" t="str">
        <f>IF(A$58=2,IF(E$5*J60&lt;ROUND(K$5*K60,0),ROUND(E$5*J60,0),ROUND(K$5*K60,0)),"N/A")</f>
        <v>N/A</v>
      </c>
      <c r="E60" s="263" t="str">
        <f>IF(D60="N/A","N/A",IF(G$38&gt;=D60,"Yes",
IF(G$38+MIN(G$24,MAX(D60-G$38,0))&gt;=D60,"Yes",
IF(AND(G$38+MIN(G$24,MAX(D60-G$38,0))&gt;=75%*D60,
G$38+MIN(G$24,MAX(D60-G$38,0))+MIN(H$24,D60-G$38-MIN(G$24,MAX(D60-G$38,0)))&gt;=D60),"Yes","No"))))</f>
        <v>N/A</v>
      </c>
      <c r="F60" s="262" t="str">
        <f>IF(E60="N/A","N/A",G$38+MIN(H$38,G$24)+MIN(I$38,H$24)-D60)</f>
        <v>N/A</v>
      </c>
      <c r="G60" s="264" t="str">
        <f>IF(E60="N/A","N/A",
IF(AND(G$24&gt;0,G$38&gt;0),MAX(D60-G$38,0),0))</f>
        <v>N/A</v>
      </c>
      <c r="H60" s="264" t="str">
        <f>IF(E60="N/A","N/A",IF(AND($A$58=2,H$24&gt;0,G$38+H$38&gt;=75%*D60),MAX(ROUND(D60-G$38-H$38,0),0),0))</f>
        <v>N/A</v>
      </c>
      <c r="I60" s="538"/>
      <c r="J60" s="539">
        <v>0.2</v>
      </c>
      <c r="K60" s="537">
        <v>130000</v>
      </c>
      <c r="L60" s="198"/>
      <c r="M60" s="2"/>
      <c r="N60"/>
      <c r="O60"/>
      <c r="P60"/>
      <c r="Q60" s="98"/>
      <c r="R60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</row>
    <row r="61" spans="1:42" s="340" customFormat="1" ht="45" customHeight="1" x14ac:dyDescent="0.2">
      <c r="A61" s="255" t="s">
        <v>13</v>
      </c>
      <c r="B61" s="261" t="s">
        <v>82</v>
      </c>
      <c r="C61" s="261" t="s">
        <v>83</v>
      </c>
      <c r="D61" s="262" t="str">
        <f>IF(A$58=3,ROUND(K5*K61,0),"N/A")</f>
        <v>N/A</v>
      </c>
      <c r="E61" s="263" t="str">
        <f>IF(D61="N/A","N/A",IF(G$38&gt;=D61,"Yes",
IF(G$38+MIN(G$24,MAX(D61-G$38,0))&gt;=D61,"Yes",
IF(AND(G$38+MIN(G$24,MAX(D61-G$38,0))&gt;=75%*D61,
G$38+MIN(G$24,MAX(D61-G$38,0))+MIN(H$24,D61-G$38-MIN(G$24,MAX(D61-G$38,0)))&gt;=D61),"Yes","No"))))</f>
        <v>N/A</v>
      </c>
      <c r="F61" s="262" t="str">
        <f>IF(E61="N/A","N/A",G$38+MIN(H$38,G$24)+MIN(I$38,H$24)-D61)</f>
        <v>N/A</v>
      </c>
      <c r="G61" s="264" t="str">
        <f>IF(E61="N/A","N/A",
IF(AND(G$24&gt;0,G$38&gt;0),MAX(D61-G$38,0),0))</f>
        <v>N/A</v>
      </c>
      <c r="H61" s="264" t="str">
        <f>IF(E61="N/A","N/A",IF(AND($A$58=3,H$24&gt;0,G$38+H$38&gt;=75%*D61),MAX(ROUND(D61-G$38-H$38,0),0),0))</f>
        <v>N/A</v>
      </c>
      <c r="I61" s="538"/>
      <c r="J61" s="536"/>
      <c r="K61" s="537">
        <v>130000</v>
      </c>
      <c r="L61" s="2"/>
      <c r="M61" s="2"/>
      <c r="N61"/>
      <c r="O61"/>
      <c r="P61"/>
      <c r="Q61"/>
      <c r="R61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339"/>
    </row>
    <row r="62" spans="1:42" s="340" customFormat="1" ht="36.950000000000003" customHeight="1" x14ac:dyDescent="0.2">
      <c r="A62" s="255" t="s">
        <v>84</v>
      </c>
      <c r="B62" s="261" t="s">
        <v>85</v>
      </c>
      <c r="C62" s="265" t="s">
        <v>86</v>
      </c>
      <c r="D62" s="262" t="str">
        <f>IF(A$58=4,ROUND(E5*J62,0),"N/A")</f>
        <v>N/A</v>
      </c>
      <c r="E62" s="263" t="str">
        <f>IF(D62="N/A","N/A",IF(G$38&gt;=D62,"Yes",
IF(G$38+MIN(G$24,MAX(D62-G$38,0))&gt;=D62,"Yes",
IF(AND(G$38+MIN(G$24,MAX(D62-G$38,0))&gt;=75%*D62,
G$38+MIN(G$24,MAX(D62-G$38,0))+MIN(H$24,D62-G$38-MIN(G$24,MAX(D62-G$38,0)))&gt;=D62),"Yes","No"))))</f>
        <v>N/A</v>
      </c>
      <c r="F62" s="262" t="str">
        <f>IF(E62="N/A","N/A",G$38+MIN(H$38,G$24)+MIN(I$38,H$24)-D62)</f>
        <v>N/A</v>
      </c>
      <c r="G62" s="264" t="str">
        <f>IF(E62="N/A","N/A",
IF(AND(G$24&gt;0,G$38&gt;0),MAX(D62-G$38,0),0))</f>
        <v>N/A</v>
      </c>
      <c r="H62" s="264" t="str">
        <f>IF(E62="N/A","N/A",IF(AND($A$58=4,H$24&gt;0,G$38+H$38&gt;=75%*D62),MAX(ROUND(D62-G$38-H$38,0),0),0))</f>
        <v>N/A</v>
      </c>
      <c r="I62" s="538"/>
      <c r="J62" s="539">
        <v>0.1</v>
      </c>
      <c r="K62" s="537"/>
      <c r="L62" s="2"/>
      <c r="M62" s="2"/>
      <c r="N62"/>
      <c r="O62"/>
      <c r="P62"/>
      <c r="Q62"/>
      <c r="R62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</row>
    <row r="63" spans="1:42" ht="36.950000000000003" customHeight="1" x14ac:dyDescent="0.2">
      <c r="A63" s="254"/>
      <c r="B63" s="261" t="s">
        <v>87</v>
      </c>
      <c r="C63" s="261" t="s">
        <v>88</v>
      </c>
      <c r="D63" s="262" t="str">
        <f>IF(A$58=5,IF(E$5*J63&gt;=K63,K63,ROUND((E$5*J63),0)),"N/A")</f>
        <v>N/A</v>
      </c>
      <c r="E63" s="263" t="str">
        <f>IF(D63="N/A","N/A",IF(G$38&gt;=D63,"Yes",
IF(G$38+MIN(G$24,MAX(D63-G$38,0))&gt;=D63,"Yes",
IF(AND(G$38+MIN(G$24,MAX(D63-G$38,0))&gt;=75%*D63,
G$38+MIN(G$24,MAX(D63-G$38,0))+MIN(H$24,D63-G$38-MIN(G$24,MAX(D63-G$38,0)))&gt;=D63),"Yes","No"))))</f>
        <v>N/A</v>
      </c>
      <c r="F63" s="262" t="str">
        <f>IF(E63="N/A","N/A",G$38+MIN(H$38,G$24)+MIN(I$38,H$24)-D63)</f>
        <v>N/A</v>
      </c>
      <c r="G63" s="264" t="str">
        <f>IF(E63="N/A","N/A",
IF(AND(G$24&gt;0,G$38&gt;0),MAX(D63-G$38,0),0))</f>
        <v>N/A</v>
      </c>
      <c r="H63" s="264" t="str">
        <f>IF(E63="N/A","N/A",IF(AND($A$58=5,H$24&gt;0,G$38+H$38&gt;=75%*D63),MAX(ROUND(D63-G$38-H$38,0),0),0))</f>
        <v>N/A</v>
      </c>
      <c r="I63" s="538"/>
      <c r="J63" s="539">
        <v>0.05</v>
      </c>
      <c r="K63" s="537">
        <v>190000</v>
      </c>
      <c r="L63" s="2"/>
      <c r="M63" s="2"/>
      <c r="N63"/>
      <c r="O63"/>
      <c r="P63"/>
      <c r="Q63"/>
      <c r="R63"/>
      <c r="AP63" s="339"/>
    </row>
    <row r="64" spans="1:42" ht="20.100000000000001" customHeight="1" x14ac:dyDescent="0.2">
      <c r="A64" s="254"/>
      <c r="B64" s="266" t="s">
        <v>89</v>
      </c>
      <c r="C64" s="267"/>
      <c r="D64" s="268"/>
      <c r="E64" s="268"/>
      <c r="F64" s="269"/>
      <c r="G64" s="250"/>
      <c r="H64" s="270"/>
      <c r="I64" s="538"/>
      <c r="J64" s="536"/>
      <c r="K64" s="537"/>
      <c r="L64" s="2"/>
      <c r="M64" s="2"/>
      <c r="N64"/>
      <c r="O64"/>
      <c r="P64"/>
      <c r="Q64"/>
      <c r="R64"/>
      <c r="AP64" s="339"/>
    </row>
    <row r="65" spans="1:42" s="352" customFormat="1" ht="45" customHeight="1" x14ac:dyDescent="0.2">
      <c r="A65" s="254"/>
      <c r="B65" s="261" t="s">
        <v>90</v>
      </c>
      <c r="C65" s="261" t="s">
        <v>91</v>
      </c>
      <c r="D65" s="262" t="str">
        <f>IF(A$58=7,IF($E$5*J65&lt;$K$5*K65,ROUND($E$5*J65,0),ROUND($K$5*K65,0)),"N/A")</f>
        <v>N/A</v>
      </c>
      <c r="E65" s="263" t="str">
        <f>IF(D65="N/A","N/A",IF(G$38&gt;=D65,"Yes",
IF(G$38+MIN(G$24,MAX(D65-G$38,0))&gt;=D65,"Yes","No")))</f>
        <v>N/A</v>
      </c>
      <c r="F65" s="262" t="str">
        <f>IF(E65="N/A","N/A",G$38+MIN(H$38,G$24)+MIN(I$38,H$24)-D65)</f>
        <v>N/A</v>
      </c>
      <c r="G65" s="264" t="str">
        <f>IF(E65="N/A","N/A",
IF(AND(G$24&gt;0,G$38&gt;0),MAX(D65-G$38,0),0))</f>
        <v>N/A</v>
      </c>
      <c r="H65" s="270"/>
      <c r="I65" s="538"/>
      <c r="J65" s="539">
        <v>0.3</v>
      </c>
      <c r="K65" s="537">
        <v>100000</v>
      </c>
      <c r="L65" s="3"/>
      <c r="M65" s="3"/>
      <c r="N65" s="7"/>
      <c r="O65" s="7"/>
      <c r="P65" s="7"/>
      <c r="Q65" s="7"/>
      <c r="R65" s="7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s="352" customFormat="1" ht="36.950000000000003" customHeight="1" x14ac:dyDescent="0.2">
      <c r="A66" s="254"/>
      <c r="B66" s="261" t="s">
        <v>92</v>
      </c>
      <c r="C66" s="261" t="s">
        <v>93</v>
      </c>
      <c r="D66" s="262" t="str">
        <f>IF(A$58=8,IF(($E$5*J66)&lt;ROUND(($K$5*K66),0),ROUND(($E$5*J66),0),ROUND(($K$5*K66),0)),"N/A")</f>
        <v>N/A</v>
      </c>
      <c r="E66" s="263" t="str">
        <f t="shared" ref="E66:E79" si="10">IF(D66="N/A","N/A",IF(G$38&gt;=D66,"Yes",
IF(G$38+MIN(G$24,MAX(D66-G$38,0))&gt;=D66,"Yes","No")))</f>
        <v>N/A</v>
      </c>
      <c r="F66" s="262" t="str">
        <f>IF(E66="N/A","N/A",G$38+MIN(H$38,G$24)+MIN(I$38,H$24)-D66)</f>
        <v>N/A</v>
      </c>
      <c r="G66" s="264" t="str">
        <f>IF(E66="N/A","N/A",
IF(AND(G$24&gt;0,G$38&gt;0),MAX(D66-G$38,0),0))</f>
        <v>N/A</v>
      </c>
      <c r="H66" s="271"/>
      <c r="I66" s="538"/>
      <c r="J66" s="539">
        <v>0.4</v>
      </c>
      <c r="K66" s="537">
        <v>100000</v>
      </c>
      <c r="L66" s="3"/>
      <c r="M66" s="3"/>
      <c r="N66" s="7"/>
      <c r="O66" s="7"/>
      <c r="P66" s="7"/>
      <c r="Q66" s="7"/>
      <c r="R66" s="7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1:42" s="352" customFormat="1" ht="50.45" customHeight="1" x14ac:dyDescent="0.2">
      <c r="A67" s="254"/>
      <c r="B67" s="261" t="s">
        <v>94</v>
      </c>
      <c r="C67" s="261" t="s">
        <v>95</v>
      </c>
      <c r="D67" s="262" t="str">
        <f>IF(A$58=9,ROUND(($K$5*K67),0),"N/A")</f>
        <v>N/A</v>
      </c>
      <c r="E67" s="263" t="str">
        <f t="shared" si="10"/>
        <v>N/A</v>
      </c>
      <c r="F67" s="262" t="str">
        <f>IF(E67="N/A","N/A",G$38+MIN(H$38,G$24)+MIN(I$38,H$24)-D67)</f>
        <v>N/A</v>
      </c>
      <c r="G67" s="264" t="str">
        <f>IF(E67="N/A","N/A",
IF(AND(G$24&gt;0,G$38&gt;0),MAX(D67-G$38,0),0))</f>
        <v>N/A</v>
      </c>
      <c r="H67" s="271"/>
      <c r="I67" s="538"/>
      <c r="J67" s="536"/>
      <c r="K67" s="537">
        <v>100000</v>
      </c>
      <c r="L67" s="3"/>
      <c r="M67" s="3"/>
      <c r="N67" s="7"/>
      <c r="O67" s="7"/>
      <c r="P67" s="7"/>
      <c r="Q67" s="7"/>
      <c r="R67" s="7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s="20" customFormat="1" ht="36.950000000000003" customHeight="1" x14ac:dyDescent="0.2">
      <c r="A68" s="254"/>
      <c r="B68" s="261" t="s">
        <v>96</v>
      </c>
      <c r="C68" s="261" t="s">
        <v>97</v>
      </c>
      <c r="D68" s="262" t="str">
        <f>IF(A$58=10,MIN(ROUND(($E$5*J68),0),K68),"N/A")</f>
        <v>N/A</v>
      </c>
      <c r="E68" s="263" t="str">
        <f t="shared" si="10"/>
        <v>N/A</v>
      </c>
      <c r="F68" s="262" t="str">
        <f>IF(E68="N/A","N/A",G$38+MIN(H$38,G$24)+MIN(I$38,H$24)-D68)</f>
        <v>N/A</v>
      </c>
      <c r="G68" s="264" t="str">
        <f>IF(E68="N/A","N/A",
IF(AND(G$24&gt;0,G$38&gt;0),MAX(D68-G$38,0),0))</f>
        <v>N/A</v>
      </c>
      <c r="H68" s="271"/>
      <c r="I68" s="538"/>
      <c r="J68" s="539">
        <v>0.1</v>
      </c>
      <c r="K68" s="537">
        <v>60000</v>
      </c>
      <c r="L68" s="3"/>
      <c r="M68" s="3"/>
      <c r="N68" s="3"/>
      <c r="O68" s="3"/>
      <c r="P68" s="3"/>
      <c r="Q68" s="3"/>
      <c r="R68" s="7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42" s="20" customFormat="1" ht="20.100000000000001" customHeight="1" x14ac:dyDescent="0.2">
      <c r="A69" s="254"/>
      <c r="B69" s="272" t="s">
        <v>98</v>
      </c>
      <c r="C69" s="273"/>
      <c r="D69" s="269"/>
      <c r="E69" s="269"/>
      <c r="F69" s="269"/>
      <c r="G69" s="250"/>
      <c r="H69" s="271"/>
      <c r="I69" s="538"/>
      <c r="J69" s="536"/>
      <c r="K69" s="537"/>
      <c r="L69" s="3"/>
      <c r="M69" s="3"/>
      <c r="N69" s="3"/>
      <c r="O69" s="3"/>
      <c r="P69" s="3"/>
      <c r="Q69" s="3"/>
      <c r="R69" s="7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42" s="20" customFormat="1" ht="36.950000000000003" customHeight="1" x14ac:dyDescent="0.2">
      <c r="A70" s="254"/>
      <c r="B70" s="261" t="s">
        <v>99</v>
      </c>
      <c r="C70" s="261" t="s">
        <v>100</v>
      </c>
      <c r="D70" s="262" t="str">
        <f>IF(A$58=12,IF(E$5*J70&lt;K$5*K70,ROUND(E$5*J70,0),ROUND(K$5*K70,0)),"N/A")</f>
        <v>N/A</v>
      </c>
      <c r="E70" s="263" t="str">
        <f t="shared" si="10"/>
        <v>N/A</v>
      </c>
      <c r="F70" s="262" t="str">
        <f t="shared" ref="F70:F76" si="11">IF(E70="N/A","N/A",G$38+MIN(H$38,G$24)+MIN(I$38,H$24)-D70)</f>
        <v>N/A</v>
      </c>
      <c r="G70" s="264" t="str">
        <f t="shared" ref="G70:G76" si="12">IF(E70="N/A","N/A",
IF(AND(G$24&gt;0,G$38&gt;0),MAX(D70-G$38,0),0))</f>
        <v>N/A</v>
      </c>
      <c r="H70" s="271"/>
      <c r="I70" s="538"/>
      <c r="J70" s="539">
        <v>0.45</v>
      </c>
      <c r="K70" s="537">
        <v>315000</v>
      </c>
      <c r="L70" s="3"/>
      <c r="M70" s="3"/>
      <c r="N70" s="3"/>
      <c r="O70" s="3"/>
      <c r="P70" s="3"/>
      <c r="Q70" s="3"/>
      <c r="R70" s="7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42" s="20" customFormat="1" ht="47.45" customHeight="1" x14ac:dyDescent="0.2">
      <c r="A71" s="254"/>
      <c r="B71" s="261" t="s">
        <v>101</v>
      </c>
      <c r="C71" s="261" t="s">
        <v>102</v>
      </c>
      <c r="D71" s="262" t="str">
        <f>IF(A$58=13,ROUND(K$5*K71,0),"N/A")</f>
        <v>N/A</v>
      </c>
      <c r="E71" s="263" t="str">
        <f t="shared" si="10"/>
        <v>N/A</v>
      </c>
      <c r="F71" s="262" t="str">
        <f t="shared" si="11"/>
        <v>N/A</v>
      </c>
      <c r="G71" s="264" t="str">
        <f t="shared" si="12"/>
        <v>N/A</v>
      </c>
      <c r="H71" s="271"/>
      <c r="I71" s="540"/>
      <c r="J71" s="536"/>
      <c r="K71" s="537">
        <v>315000</v>
      </c>
      <c r="L71" s="3"/>
      <c r="M71" s="3"/>
      <c r="N71" s="3"/>
      <c r="O71" s="3"/>
      <c r="P71" s="3"/>
      <c r="Q71" s="3"/>
      <c r="R71" s="3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42" s="20" customFormat="1" ht="59.45" customHeight="1" x14ac:dyDescent="0.2">
      <c r="A72" s="254"/>
      <c r="B72" s="261" t="s">
        <v>103</v>
      </c>
      <c r="C72" s="261" t="s">
        <v>104</v>
      </c>
      <c r="D72" s="262" t="str">
        <f>IF(A$58=14,ROUND(K5*K72,0),"N/A")</f>
        <v>N/A</v>
      </c>
      <c r="E72" s="263" t="str">
        <f t="shared" si="10"/>
        <v>N/A</v>
      </c>
      <c r="F72" s="262" t="str">
        <f t="shared" si="11"/>
        <v>N/A</v>
      </c>
      <c r="G72" s="264" t="str">
        <f t="shared" si="12"/>
        <v>N/A</v>
      </c>
      <c r="H72" s="271"/>
      <c r="I72" s="538"/>
      <c r="J72" s="536"/>
      <c r="K72" s="537">
        <v>235000</v>
      </c>
      <c r="L72" s="3"/>
      <c r="M72" s="3"/>
      <c r="N72" s="3"/>
      <c r="O72" s="3"/>
      <c r="P72" s="3"/>
      <c r="Q72" s="3"/>
      <c r="R72" s="7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42" s="20" customFormat="1" ht="36.950000000000003" customHeight="1" x14ac:dyDescent="0.2">
      <c r="A73" s="254"/>
      <c r="B73" s="261" t="s">
        <v>105</v>
      </c>
      <c r="C73" s="261" t="s">
        <v>106</v>
      </c>
      <c r="D73" s="262" t="str">
        <f>IF(A$58=15,ROUND(E$5*J73,0),"N/A")</f>
        <v>N/A</v>
      </c>
      <c r="E73" s="263" t="str">
        <f t="shared" si="10"/>
        <v>N/A</v>
      </c>
      <c r="F73" s="262" t="str">
        <f t="shared" si="11"/>
        <v>N/A</v>
      </c>
      <c r="G73" s="264" t="str">
        <f t="shared" si="12"/>
        <v>N/A</v>
      </c>
      <c r="H73" s="271"/>
      <c r="I73" s="538"/>
      <c r="J73" s="541">
        <v>0.125</v>
      </c>
      <c r="K73" s="537"/>
      <c r="L73" s="3"/>
      <c r="M73" s="3"/>
      <c r="N73" s="3"/>
      <c r="O73" s="3"/>
      <c r="P73" s="3"/>
      <c r="Q73" s="3"/>
      <c r="R73" s="7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42" s="20" customFormat="1" ht="36.950000000000003" customHeight="1" x14ac:dyDescent="0.2">
      <c r="A74" s="254"/>
      <c r="B74" s="261" t="s">
        <v>107</v>
      </c>
      <c r="C74" s="261" t="s">
        <v>108</v>
      </c>
      <c r="D74" s="262" t="str">
        <f>IF(A$58=16,IF(E$5*J74&lt;K74,ROUND(E$5*J74,0),K74),"N/A")</f>
        <v>N/A</v>
      </c>
      <c r="E74" s="263" t="str">
        <f t="shared" si="10"/>
        <v>N/A</v>
      </c>
      <c r="F74" s="262" t="str">
        <f t="shared" si="11"/>
        <v>N/A</v>
      </c>
      <c r="G74" s="264" t="str">
        <f t="shared" si="12"/>
        <v>N/A</v>
      </c>
      <c r="H74" s="271"/>
      <c r="I74" s="538"/>
      <c r="J74" s="539">
        <v>0.05</v>
      </c>
      <c r="K74" s="537">
        <v>230000</v>
      </c>
      <c r="L74" s="3"/>
      <c r="M74" s="3"/>
      <c r="N74" s="3"/>
      <c r="O74" s="3"/>
      <c r="P74" s="3"/>
      <c r="Q74" s="3"/>
      <c r="R74" s="7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42" s="20" customFormat="1" ht="36.950000000000003" customHeight="1" x14ac:dyDescent="0.2">
      <c r="A75" s="254"/>
      <c r="B75" s="261" t="s">
        <v>109</v>
      </c>
      <c r="C75" s="261" t="s">
        <v>110</v>
      </c>
      <c r="D75" s="262" t="str">
        <f>IF(A$58=17,ROUND(K5*K75*2,0),"N/A")</f>
        <v>N/A</v>
      </c>
      <c r="E75" s="263" t="str">
        <f t="shared" si="10"/>
        <v>N/A</v>
      </c>
      <c r="F75" s="262" t="str">
        <f t="shared" si="11"/>
        <v>N/A</v>
      </c>
      <c r="G75" s="264" t="str">
        <f t="shared" si="12"/>
        <v>N/A</v>
      </c>
      <c r="H75" s="271"/>
      <c r="I75" s="538"/>
      <c r="J75" s="536"/>
      <c r="K75" s="537">
        <v>205000</v>
      </c>
      <c r="L75" s="3"/>
      <c r="M75" s="3"/>
      <c r="N75" s="3"/>
      <c r="O75" s="3"/>
      <c r="P75" s="3"/>
      <c r="Q75" s="3"/>
      <c r="R75" s="7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42" s="352" customFormat="1" ht="36.950000000000003" customHeight="1" x14ac:dyDescent="0.2">
      <c r="A76" s="254"/>
      <c r="B76" s="261" t="s">
        <v>111</v>
      </c>
      <c r="C76" s="261" t="s">
        <v>112</v>
      </c>
      <c r="D76" s="262" t="str">
        <f>IF(A$58=18,ROUND(K5*K76,0),"N/A")</f>
        <v>N/A</v>
      </c>
      <c r="E76" s="263" t="str">
        <f t="shared" si="10"/>
        <v>N/A</v>
      </c>
      <c r="F76" s="262" t="str">
        <f t="shared" si="11"/>
        <v>N/A</v>
      </c>
      <c r="G76" s="264" t="str">
        <f t="shared" si="12"/>
        <v>N/A</v>
      </c>
      <c r="H76" s="271"/>
      <c r="I76" s="538"/>
      <c r="J76" s="536"/>
      <c r="K76" s="537">
        <v>525000</v>
      </c>
      <c r="L76" s="3"/>
      <c r="M76" s="3"/>
      <c r="N76" s="7"/>
      <c r="O76" s="7"/>
      <c r="P76" s="7"/>
      <c r="Q76" s="7"/>
      <c r="R76" s="7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1:42" s="352" customFormat="1" ht="20.100000000000001" customHeight="1" x14ac:dyDescent="0.2">
      <c r="A77" s="254"/>
      <c r="B77" s="272" t="s">
        <v>113</v>
      </c>
      <c r="C77" s="274"/>
      <c r="D77" s="275"/>
      <c r="E77" s="275"/>
      <c r="F77" s="269"/>
      <c r="G77" s="250"/>
      <c r="H77" s="271"/>
      <c r="I77" s="538"/>
      <c r="J77" s="536"/>
      <c r="K77" s="537"/>
      <c r="L77" s="13"/>
      <c r="M77" s="3"/>
      <c r="N77" s="7"/>
      <c r="O77" s="7"/>
      <c r="P77" s="7"/>
      <c r="Q77" s="7"/>
      <c r="R77" s="7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1:42" s="352" customFormat="1" ht="36.950000000000003" customHeight="1" x14ac:dyDescent="0.2">
      <c r="A78" s="254"/>
      <c r="B78" s="261" t="s">
        <v>114</v>
      </c>
      <c r="C78" s="261" t="s">
        <v>115</v>
      </c>
      <c r="D78" s="262" t="str">
        <f>IF(A58=20,IF($E$5*J78&lt;$K$5*K78,ROUND($E$5*J78,0),ROUND($K$5*K78,0)),"N/A")</f>
        <v>N/A</v>
      </c>
      <c r="E78" s="263" t="str">
        <f>IF(D78="N/A","N/A",IF(G$38&gt;=D78,"Yes",
IF(G$38+MIN(G$24,MAX(D78-G$38,0))&gt;=D78,"Yes","No")))</f>
        <v>N/A</v>
      </c>
      <c r="F78" s="262" t="str">
        <f>IF(E78="N/A","N/A",G$38+MIN(H$38,G$24)+MIN(I$38,H$24)-D78)</f>
        <v>N/A</v>
      </c>
      <c r="G78" s="264" t="str">
        <f>IF(E78="N/A","N/A",
IF(AND(G$24&gt;0,G$38&gt;0),MAX(D78-G$38,0),0))</f>
        <v>N/A</v>
      </c>
      <c r="H78" s="271"/>
      <c r="I78" s="538"/>
      <c r="J78" s="539">
        <v>0.4</v>
      </c>
      <c r="K78" s="537">
        <v>240000</v>
      </c>
      <c r="L78" s="114"/>
      <c r="M78" s="3"/>
      <c r="N78" s="3"/>
      <c r="O78" s="7"/>
      <c r="P78" s="7"/>
      <c r="Q78" s="7"/>
      <c r="R78" s="7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1:42" s="352" customFormat="1" ht="36.950000000000003" customHeight="1" x14ac:dyDescent="0.2">
      <c r="A79" s="254"/>
      <c r="B79" s="261" t="s">
        <v>116</v>
      </c>
      <c r="C79" s="261" t="s">
        <v>117</v>
      </c>
      <c r="D79" s="262" t="str">
        <f>IF(A58=21,ROUND($K$5*K79,0),"N/A")</f>
        <v>N/A</v>
      </c>
      <c r="E79" s="263" t="str">
        <f t="shared" si="10"/>
        <v>N/A</v>
      </c>
      <c r="F79" s="262" t="str">
        <f>IF(E79="N/A","N/A",G$38+MIN(H$38,G$24)+MIN(I$38,H$24)-D79)</f>
        <v>N/A</v>
      </c>
      <c r="G79" s="264" t="str">
        <f>IF(E79="N/A","N/A",
IF(AND(G$24&gt;0,G$38&gt;0),MAX(D79-G$38,0),0))</f>
        <v>N/A</v>
      </c>
      <c r="H79" s="276"/>
      <c r="I79" s="535"/>
      <c r="J79" s="536"/>
      <c r="K79" s="537">
        <v>240000</v>
      </c>
      <c r="L79" s="3"/>
      <c r="M79" s="7"/>
      <c r="N79" s="7"/>
      <c r="O79" s="3"/>
      <c r="P79" s="7"/>
      <c r="Q79" s="7"/>
      <c r="R79" s="7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0"/>
    </row>
    <row r="80" spans="1:42" s="353" customFormat="1" ht="17.100000000000001" customHeight="1" x14ac:dyDescent="0.2">
      <c r="A80" s="226"/>
      <c r="B80" s="251"/>
      <c r="C80" s="251"/>
      <c r="D80" s="115"/>
      <c r="E80" s="116"/>
      <c r="F80" s="115"/>
      <c r="G80" s="231"/>
      <c r="H80" s="231"/>
      <c r="I80" s="226"/>
      <c r="J80" s="226"/>
      <c r="K80" s="226"/>
      <c r="L80" s="226"/>
      <c r="M80" s="226"/>
      <c r="N80" s="227"/>
      <c r="O80" s="226"/>
      <c r="P80" s="226"/>
      <c r="Q80" s="226"/>
      <c r="R80" s="226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</row>
    <row r="81" spans="1:44" s="348" customFormat="1" ht="20.100000000000001" customHeight="1" x14ac:dyDescent="0.2">
      <c r="A81" s="85" t="s">
        <v>118</v>
      </c>
      <c r="B81" s="34"/>
      <c r="C81" s="35"/>
      <c r="D81" s="36"/>
      <c r="E81" s="37"/>
      <c r="F81" s="36"/>
      <c r="G81" s="38"/>
      <c r="H81" s="38"/>
      <c r="I81" s="38"/>
      <c r="J81" s="38"/>
      <c r="K81" s="38"/>
      <c r="L81" s="38"/>
      <c r="M81" s="39"/>
      <c r="N81" s="39"/>
      <c r="O81" s="38"/>
      <c r="P81" s="39"/>
      <c r="Q81" s="39"/>
      <c r="R81" s="39"/>
    </row>
    <row r="82" spans="1:44" s="355" customFormat="1" ht="17.25" customHeight="1" x14ac:dyDescent="0.2">
      <c r="A82" s="577" t="s">
        <v>119</v>
      </c>
      <c r="B82" s="577"/>
      <c r="C82" s="576" t="s">
        <v>120</v>
      </c>
      <c r="D82" s="576"/>
      <c r="E82" s="576"/>
      <c r="F82" s="554" t="s">
        <v>121</v>
      </c>
      <c r="G82" s="554"/>
      <c r="H82" s="554"/>
      <c r="I82" s="553" t="s">
        <v>122</v>
      </c>
      <c r="J82" s="553"/>
      <c r="K82" s="553"/>
      <c r="L82" s="30"/>
      <c r="M82" s="30"/>
      <c r="N82" s="31"/>
      <c r="O82" s="30"/>
      <c r="P82" s="30"/>
      <c r="Q82" s="30"/>
      <c r="R82" s="30"/>
      <c r="S82" s="354"/>
      <c r="T82" s="354"/>
      <c r="U82" s="354"/>
      <c r="V82" s="354"/>
      <c r="W82" s="354"/>
      <c r="X82" s="354"/>
      <c r="Y82" s="354"/>
      <c r="Z82" s="354"/>
      <c r="AA82" s="354"/>
      <c r="AB82" s="354"/>
      <c r="AC82" s="354"/>
      <c r="AD82" s="354"/>
      <c r="AE82" s="354"/>
      <c r="AF82" s="354"/>
      <c r="AG82" s="354"/>
      <c r="AH82" s="354"/>
      <c r="AI82" s="354"/>
      <c r="AJ82" s="354"/>
      <c r="AK82" s="354"/>
      <c r="AL82" s="354"/>
      <c r="AM82" s="354"/>
      <c r="AN82" s="354"/>
      <c r="AO82" s="354"/>
      <c r="AP82" s="354"/>
      <c r="AQ82" s="354"/>
      <c r="AR82" s="354"/>
    </row>
    <row r="83" spans="1:44" s="351" customFormat="1" ht="51.75" customHeight="1" x14ac:dyDescent="0.25">
      <c r="A83" s="575" t="s">
        <v>72</v>
      </c>
      <c r="B83" s="575"/>
      <c r="C83" s="279" t="s">
        <v>123</v>
      </c>
      <c r="D83" s="279" t="s">
        <v>124</v>
      </c>
      <c r="E83" s="277" t="s">
        <v>125</v>
      </c>
      <c r="F83" s="280" t="s">
        <v>126</v>
      </c>
      <c r="G83" s="281" t="s">
        <v>124</v>
      </c>
      <c r="H83" s="281" t="s">
        <v>125</v>
      </c>
      <c r="I83" s="278" t="s">
        <v>127</v>
      </c>
      <c r="J83" s="282" t="s">
        <v>124</v>
      </c>
      <c r="K83" s="282" t="s">
        <v>125</v>
      </c>
      <c r="L83" s="49"/>
      <c r="M83" s="50"/>
      <c r="N83" s="49"/>
      <c r="O83" s="49"/>
      <c r="P83" s="49"/>
      <c r="Q83" s="49"/>
      <c r="R83" s="49"/>
      <c r="S83" s="350"/>
      <c r="T83" s="350"/>
      <c r="U83" s="350"/>
      <c r="V83" s="350"/>
      <c r="W83" s="350"/>
      <c r="X83" s="350"/>
      <c r="Y83" s="350"/>
      <c r="Z83" s="350"/>
      <c r="AA83" s="350"/>
      <c r="AB83" s="350"/>
      <c r="AC83" s="350"/>
      <c r="AD83" s="350"/>
      <c r="AE83" s="350"/>
      <c r="AF83" s="350"/>
      <c r="AG83" s="350"/>
      <c r="AH83" s="350"/>
      <c r="AI83" s="350"/>
      <c r="AJ83" s="350"/>
      <c r="AK83" s="350"/>
      <c r="AL83" s="350"/>
      <c r="AM83" s="350"/>
    </row>
    <row r="84" spans="1:44" ht="29.25" hidden="1" customHeight="1" x14ac:dyDescent="0.2">
      <c r="A84" s="82" t="s">
        <v>128</v>
      </c>
      <c r="B84" s="64" t="s">
        <v>129</v>
      </c>
      <c r="C84" s="283" t="str">
        <f>IF($E$10&lt;&gt;"Yes",(ROUND(F$8*$E$5,0)),"N/A")</f>
        <v>N/A</v>
      </c>
      <c r="D84" s="284" t="str">
        <f>IF($E$10="Yes","N/A",IF($E$24&gt;C84,"No","Yes"))</f>
        <v>N/A</v>
      </c>
      <c r="E84" s="283" t="str">
        <f>IF(D84="No",$E$24-C84,"N/A")</f>
        <v>N/A</v>
      </c>
      <c r="F84" s="283" t="str">
        <f>IF($E$10&lt;&gt;"Yes",ROUND(F8*$E$5,0),"N/A")</f>
        <v>N/A</v>
      </c>
      <c r="G84" s="284" t="str">
        <f>IF($E$10="No",IF($E$24&gt;F84,"No","Yes"),"N/A")</f>
        <v>N/A</v>
      </c>
      <c r="H84" s="283" t="str">
        <f>IF(G84="No",$E$24-F84,"N/A")</f>
        <v>N/A</v>
      </c>
      <c r="I84" s="285"/>
      <c r="J84" s="286"/>
      <c r="K84" s="287"/>
      <c r="L84"/>
      <c r="M84" s="1"/>
      <c r="N84"/>
      <c r="O84"/>
      <c r="P84"/>
      <c r="Q84"/>
      <c r="R84"/>
      <c r="AN84" s="340"/>
      <c r="AO84" s="340"/>
      <c r="AP84" s="340"/>
      <c r="AQ84" s="340"/>
      <c r="AR84" s="340"/>
    </row>
    <row r="85" spans="1:44" ht="93.2" customHeight="1" x14ac:dyDescent="0.2">
      <c r="A85" s="289" t="s">
        <v>122</v>
      </c>
      <c r="B85" s="288" t="str">
        <f>IF(E9&lt;&gt;"Yes", "Lesser of 15% of Eligible Costs OR Feature films (Live-action, Drama): 
$600,000 
All other Projects: $900,000|All combined programs 84% ", "Lesser of 25% of Eligible Costs OR Feature films (Live-action, Drama): 
$600,000 
 All other Projects: $900,000|All combined programs 84% ")</f>
        <v xml:space="preserve">Lesser of 15% of Eligible Costs OR Feature films (Live-action, Drama): 
$600,000 
All other Projects: $900,000|All combined programs 84% </v>
      </c>
      <c r="C85" s="283" t="str">
        <f>IF(AND($I$58=1,E10="Yes",E5&gt;0),MIN(F85+I85,ROUND(0.84*$E$5,0)),"N/A")</f>
        <v>N/A</v>
      </c>
      <c r="D85" s="284" t="str">
        <f>IF(C85="N/A","N/A",
IF(OR(G85="no",J85="no",C85&lt;E11+E24),"No","Yes"))</f>
        <v>N/A</v>
      </c>
      <c r="E85" s="283" t="str">
        <f>IF(D85="No",MAX(E11+E24-N(C85),N(H85)+N(K85)),"N/A")</f>
        <v>N/A</v>
      </c>
      <c r="F85" s="283" t="str">
        <f>IF(AND($I$58=1,E10="Yes",E5&gt;0),IF($E$24&gt;0,ROUND(F8*$E$5,0),0),"N/A")</f>
        <v>N/A</v>
      </c>
      <c r="G85" s="284" t="str">
        <f>IF(F85="N/A","N/A",IF($E$24&gt;F85,"No","Yes"))</f>
        <v>N/A</v>
      </c>
      <c r="H85" s="283" t="str">
        <f>IF(G85="No",$E$24-F85,"N/A")</f>
        <v>N/A</v>
      </c>
      <c r="I85" s="283" t="str">
        <f>IF(AND($I$58=1,E10="Yes",E5&gt;0),IF(A$58&lt;&gt;16,MIN(ROUND(A59*$E$5,0),900000),MIN(ROUND(A59*$E$5,0),600000)),"N/A")</f>
        <v>N/A</v>
      </c>
      <c r="J85" s="284" t="str">
        <f>IF(I85="N/A","N/A",IF($E$11&gt;I85,"No","Yes"))</f>
        <v>N/A</v>
      </c>
      <c r="K85" s="283" t="str">
        <f>IF(J85="No",$E$25-I85,"N/A")</f>
        <v>N/A</v>
      </c>
      <c r="L85"/>
      <c r="M85" s="1"/>
      <c r="N85"/>
      <c r="O85"/>
      <c r="P85"/>
      <c r="Q85"/>
      <c r="R85"/>
      <c r="AN85" s="340"/>
      <c r="AO85" s="340"/>
      <c r="AP85" s="340"/>
      <c r="AQ85" s="340"/>
      <c r="AR85" s="340"/>
    </row>
    <row r="86" spans="1:44" x14ac:dyDescent="0.2">
      <c r="A86" s="2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/>
      <c r="R86"/>
      <c r="AP86" s="340"/>
      <c r="AQ86" s="340"/>
      <c r="AR86" s="340"/>
    </row>
    <row r="87" spans="1:44" x14ac:dyDescent="0.2">
      <c r="A87" s="2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/>
      <c r="N87"/>
      <c r="O87"/>
      <c r="P87"/>
      <c r="Q87"/>
      <c r="R87"/>
      <c r="AP87" s="340"/>
      <c r="AQ87" s="340"/>
      <c r="AR87" s="340"/>
    </row>
    <row r="88" spans="1:44" ht="149.25" customHeight="1" x14ac:dyDescent="0.2">
      <c r="A88"/>
      <c r="B88"/>
      <c r="C88"/>
      <c r="D88" s="2"/>
      <c r="E88" s="2"/>
      <c r="F88" s="2"/>
      <c r="G88" s="2"/>
      <c r="H88" s="2"/>
      <c r="I88" s="2"/>
      <c r="J88" s="2"/>
      <c r="K88" s="2"/>
      <c r="L88" s="2"/>
      <c r="M88"/>
      <c r="N88"/>
      <c r="O88"/>
      <c r="P88"/>
      <c r="Q88"/>
      <c r="R88"/>
      <c r="AP88" s="340"/>
      <c r="AQ88" s="340"/>
      <c r="AR88" s="340"/>
    </row>
    <row r="89" spans="1:44" x14ac:dyDescent="0.2">
      <c r="A89"/>
      <c r="B89"/>
      <c r="C89"/>
      <c r="D89" s="2"/>
      <c r="E89" s="2"/>
      <c r="F89" s="2"/>
      <c r="G89" s="2"/>
      <c r="H89" s="2"/>
      <c r="I89" s="2"/>
      <c r="J89" s="2"/>
      <c r="K89" s="2"/>
      <c r="L89" s="2"/>
      <c r="M89"/>
      <c r="N89"/>
      <c r="O89"/>
      <c r="P89"/>
      <c r="Q89"/>
      <c r="R89"/>
      <c r="AP89" s="340"/>
      <c r="AQ89" s="340"/>
      <c r="AR89" s="340"/>
    </row>
    <row r="90" spans="1:44" x14ac:dyDescent="0.2">
      <c r="A90"/>
      <c r="B90"/>
      <c r="C90"/>
      <c r="D90" s="2"/>
      <c r="E90" s="2"/>
      <c r="F90" s="2"/>
      <c r="G90" s="2"/>
      <c r="H90" s="2"/>
      <c r="I90" s="2"/>
      <c r="J90" s="2"/>
      <c r="K90" s="2"/>
      <c r="L90" s="2"/>
      <c r="M90"/>
      <c r="N90"/>
      <c r="O90"/>
      <c r="P90"/>
      <c r="Q90"/>
      <c r="R90"/>
      <c r="AP90" s="340"/>
      <c r="AQ90" s="340"/>
      <c r="AR90" s="340"/>
    </row>
    <row r="91" spans="1:44" x14ac:dyDescent="0.2">
      <c r="A91"/>
      <c r="B91"/>
      <c r="C91"/>
      <c r="D91" s="2"/>
      <c r="E91" s="2"/>
      <c r="F91" s="2"/>
      <c r="G91" s="2"/>
      <c r="H91" s="2"/>
      <c r="I91" s="2"/>
      <c r="J91" s="2"/>
      <c r="K91" s="2"/>
      <c r="L91" s="2"/>
      <c r="M91"/>
      <c r="N91"/>
      <c r="O91"/>
      <c r="P91"/>
      <c r="Q91"/>
      <c r="R91"/>
      <c r="AP91" s="340"/>
      <c r="AQ91" s="340"/>
      <c r="AR91" s="340"/>
    </row>
    <row r="92" spans="1:44" x14ac:dyDescent="0.2">
      <c r="A92" s="2"/>
      <c r="B92" s="4" t="s">
        <v>130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/>
      <c r="N92"/>
      <c r="O92"/>
      <c r="P92"/>
      <c r="Q92"/>
      <c r="R92"/>
      <c r="AP92" s="340"/>
      <c r="AQ92" s="340"/>
      <c r="AR92" s="340"/>
    </row>
    <row r="93" spans="1:44" x14ac:dyDescent="0.2">
      <c r="A93" s="2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/>
      <c r="N93"/>
      <c r="O93"/>
      <c r="P93"/>
      <c r="Q93"/>
      <c r="R93"/>
      <c r="AP93" s="340"/>
      <c r="AQ93" s="340"/>
      <c r="AR93" s="340"/>
    </row>
    <row r="94" spans="1:44" x14ac:dyDescent="0.2">
      <c r="A94" s="2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/>
      <c r="N94"/>
      <c r="O94"/>
      <c r="P94"/>
      <c r="Q94"/>
      <c r="R94"/>
      <c r="AP94" s="340"/>
      <c r="AQ94" s="340"/>
      <c r="AR94" s="340"/>
    </row>
    <row r="95" spans="1:44" x14ac:dyDescent="0.2">
      <c r="A95" s="2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/>
      <c r="N95"/>
      <c r="O95"/>
      <c r="P95"/>
      <c r="Q95"/>
      <c r="R95"/>
      <c r="AP95" s="340"/>
      <c r="AQ95" s="340"/>
      <c r="AR95" s="340"/>
    </row>
    <row r="96" spans="1:44" x14ac:dyDescent="0.2">
      <c r="A96" s="2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/>
      <c r="N96"/>
      <c r="O96"/>
      <c r="P96"/>
      <c r="Q96"/>
      <c r="R96"/>
      <c r="AP96" s="340"/>
      <c r="AQ96" s="340"/>
      <c r="AR96" s="340"/>
    </row>
    <row r="97" spans="1:18" x14ac:dyDescent="0.2">
      <c r="A97" s="2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/>
      <c r="N97"/>
      <c r="O97"/>
      <c r="P97"/>
      <c r="Q97"/>
      <c r="R97"/>
    </row>
    <row r="98" spans="1:18" x14ac:dyDescent="0.2">
      <c r="A98" s="2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/>
      <c r="N98"/>
      <c r="O98"/>
      <c r="P98"/>
      <c r="Q98"/>
      <c r="R98"/>
    </row>
    <row r="99" spans="1:18" x14ac:dyDescent="0.2">
      <c r="A99" s="2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/>
      <c r="N99"/>
      <c r="O99"/>
      <c r="P99"/>
      <c r="Q99"/>
      <c r="R99"/>
    </row>
    <row r="100" spans="1:18" x14ac:dyDescent="0.2">
      <c r="A100" s="2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/>
      <c r="N100"/>
      <c r="O100"/>
      <c r="P100"/>
      <c r="Q100"/>
      <c r="R100"/>
    </row>
    <row r="101" spans="1:18" x14ac:dyDescent="0.2">
      <c r="A101" s="346"/>
      <c r="B101" s="356"/>
      <c r="C101" s="346"/>
      <c r="D101" s="346"/>
      <c r="E101" s="346"/>
      <c r="F101" s="346"/>
      <c r="G101" s="346"/>
      <c r="H101" s="346"/>
      <c r="I101" s="346"/>
      <c r="J101" s="346"/>
      <c r="K101" s="346"/>
      <c r="L101" s="346"/>
    </row>
    <row r="102" spans="1:18" x14ac:dyDescent="0.2">
      <c r="A102" s="346"/>
      <c r="B102" s="356"/>
      <c r="C102" s="346"/>
      <c r="D102" s="346"/>
      <c r="E102" s="346"/>
      <c r="F102" s="346"/>
      <c r="G102" s="346"/>
      <c r="H102" s="346"/>
      <c r="I102" s="346"/>
      <c r="J102" s="346"/>
      <c r="K102" s="346"/>
      <c r="L102" s="346"/>
    </row>
    <row r="103" spans="1:18" x14ac:dyDescent="0.2">
      <c r="A103" s="346"/>
      <c r="B103" s="356"/>
      <c r="C103" s="346"/>
      <c r="D103" s="346"/>
      <c r="E103" s="346"/>
      <c r="F103" s="346"/>
      <c r="G103" s="346"/>
      <c r="H103" s="346"/>
      <c r="I103" s="346"/>
      <c r="J103" s="346"/>
      <c r="K103" s="346"/>
      <c r="L103" s="346"/>
    </row>
    <row r="104" spans="1:18" x14ac:dyDescent="0.2">
      <c r="A104" s="346"/>
      <c r="B104" s="356"/>
      <c r="C104" s="346"/>
      <c r="D104" s="346"/>
      <c r="E104" s="346"/>
      <c r="F104" s="346"/>
      <c r="G104" s="346"/>
      <c r="H104" s="346"/>
      <c r="I104" s="346"/>
      <c r="J104" s="346"/>
      <c r="K104" s="346"/>
      <c r="L104" s="346"/>
    </row>
    <row r="105" spans="1:18" x14ac:dyDescent="0.2">
      <c r="A105" s="346"/>
      <c r="B105" s="356"/>
      <c r="C105" s="346"/>
      <c r="D105" s="346"/>
      <c r="E105" s="346"/>
      <c r="F105" s="346"/>
      <c r="G105" s="346"/>
      <c r="H105" s="346"/>
      <c r="I105" s="346"/>
      <c r="J105" s="346"/>
      <c r="K105" s="346"/>
      <c r="L105" s="346"/>
    </row>
    <row r="106" spans="1:18" x14ac:dyDescent="0.2">
      <c r="A106" s="346"/>
      <c r="B106" s="356"/>
      <c r="C106" s="346"/>
      <c r="D106" s="346"/>
      <c r="E106" s="346"/>
      <c r="F106" s="346"/>
      <c r="G106" s="346"/>
      <c r="H106" s="346"/>
      <c r="I106" s="346"/>
      <c r="J106" s="346"/>
      <c r="K106" s="346"/>
      <c r="L106" s="346"/>
    </row>
    <row r="107" spans="1:18" x14ac:dyDescent="0.2">
      <c r="A107" s="346"/>
      <c r="B107" s="356"/>
      <c r="C107" s="346"/>
      <c r="D107" s="346"/>
      <c r="E107" s="346"/>
      <c r="F107" s="346"/>
      <c r="G107" s="346"/>
      <c r="H107" s="346"/>
      <c r="I107" s="346"/>
      <c r="J107" s="346"/>
      <c r="K107" s="346"/>
      <c r="L107" s="346"/>
    </row>
    <row r="108" spans="1:18" x14ac:dyDescent="0.2">
      <c r="A108" s="346"/>
      <c r="B108" s="356"/>
      <c r="C108" s="346"/>
      <c r="D108" s="346"/>
      <c r="E108" s="346"/>
      <c r="F108" s="346"/>
      <c r="G108" s="346"/>
      <c r="H108" s="346"/>
      <c r="I108" s="346"/>
      <c r="J108" s="346"/>
      <c r="K108" s="346"/>
      <c r="L108" s="346"/>
    </row>
    <row r="109" spans="1:18" x14ac:dyDescent="0.2">
      <c r="A109" s="346"/>
      <c r="B109" s="356"/>
      <c r="C109" s="346"/>
      <c r="D109" s="346"/>
      <c r="E109" s="346"/>
      <c r="F109" s="346"/>
      <c r="G109" s="346"/>
      <c r="H109" s="346"/>
      <c r="I109" s="346"/>
      <c r="J109" s="346"/>
      <c r="K109" s="346"/>
      <c r="L109" s="346"/>
    </row>
    <row r="110" spans="1:18" x14ac:dyDescent="0.2">
      <c r="A110" s="346"/>
      <c r="B110" s="356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</row>
    <row r="111" spans="1:18" x14ac:dyDescent="0.2">
      <c r="A111" s="346"/>
      <c r="B111" s="356"/>
      <c r="C111" s="346"/>
      <c r="D111" s="346"/>
      <c r="E111" s="346"/>
      <c r="F111" s="346"/>
      <c r="G111" s="346"/>
      <c r="H111" s="346"/>
      <c r="I111" s="346"/>
      <c r="J111" s="346"/>
      <c r="K111" s="346"/>
      <c r="L111" s="346"/>
    </row>
    <row r="112" spans="1:18" x14ac:dyDescent="0.2">
      <c r="A112" s="346"/>
      <c r="B112" s="356"/>
      <c r="C112" s="346"/>
      <c r="D112" s="346"/>
      <c r="E112" s="346"/>
      <c r="F112" s="346"/>
      <c r="G112" s="346"/>
      <c r="H112" s="346"/>
      <c r="I112" s="346"/>
      <c r="J112" s="346"/>
      <c r="K112" s="346"/>
      <c r="L112" s="346"/>
    </row>
    <row r="113" spans="1:12" x14ac:dyDescent="0.2">
      <c r="A113" s="346"/>
      <c r="B113" s="356"/>
      <c r="C113" s="346"/>
      <c r="D113" s="346"/>
      <c r="E113" s="346"/>
      <c r="F113" s="346"/>
      <c r="G113" s="346"/>
      <c r="H113" s="346"/>
      <c r="I113" s="346"/>
      <c r="J113" s="346"/>
      <c r="K113" s="346"/>
      <c r="L113" s="346"/>
    </row>
    <row r="114" spans="1:12" x14ac:dyDescent="0.2">
      <c r="A114" s="346"/>
      <c r="B114" s="356"/>
      <c r="C114" s="346"/>
      <c r="D114" s="346"/>
      <c r="E114" s="346"/>
      <c r="F114" s="346"/>
      <c r="G114" s="346"/>
      <c r="H114" s="346"/>
      <c r="I114" s="346"/>
      <c r="J114" s="346"/>
      <c r="K114" s="346"/>
      <c r="L114" s="346"/>
    </row>
    <row r="115" spans="1:12" x14ac:dyDescent="0.2">
      <c r="A115" s="346"/>
      <c r="B115" s="356"/>
      <c r="C115" s="346"/>
      <c r="D115" s="346"/>
      <c r="E115" s="346"/>
      <c r="F115" s="346"/>
      <c r="G115" s="346"/>
      <c r="H115" s="346"/>
      <c r="I115" s="346"/>
      <c r="J115" s="346"/>
      <c r="K115" s="346"/>
      <c r="L115" s="346"/>
    </row>
    <row r="116" spans="1:12" x14ac:dyDescent="0.2">
      <c r="A116" s="346"/>
      <c r="B116" s="356"/>
      <c r="C116" s="346"/>
      <c r="D116" s="346"/>
      <c r="E116" s="346"/>
      <c r="F116" s="346"/>
      <c r="G116" s="346"/>
      <c r="H116" s="346"/>
      <c r="I116" s="346"/>
      <c r="J116" s="346"/>
      <c r="K116" s="346"/>
      <c r="L116" s="346"/>
    </row>
    <row r="117" spans="1:12" x14ac:dyDescent="0.2">
      <c r="A117" s="346"/>
      <c r="B117" s="356"/>
      <c r="C117" s="346"/>
      <c r="D117" s="346"/>
      <c r="E117" s="346"/>
      <c r="F117" s="346"/>
      <c r="G117" s="346"/>
      <c r="H117" s="346"/>
      <c r="I117" s="346"/>
      <c r="J117" s="346"/>
      <c r="K117" s="346"/>
      <c r="L117" s="346"/>
    </row>
    <row r="118" spans="1:12" x14ac:dyDescent="0.2">
      <c r="A118" s="346"/>
      <c r="B118" s="356"/>
      <c r="C118" s="346"/>
      <c r="D118" s="346"/>
      <c r="E118" s="346"/>
      <c r="F118" s="346"/>
    </row>
  </sheetData>
  <sheetProtection algorithmName="SHA-512" hashValue="bNXMsDTI8riEGxzYnejaUQ7MXSykGYc7XILol1si033HyfRc90zxKt2RUHuKePDR9n+Achln5HUkfZebbWmEug==" saltValue="JPcro5k/ZXYPr6+a4LK4qA==" spinCount="100000" sheet="1" objects="1" scenarios="1"/>
  <mergeCells count="28">
    <mergeCell ref="A83:B83"/>
    <mergeCell ref="C82:E82"/>
    <mergeCell ref="A82:B82"/>
    <mergeCell ref="I44:J44"/>
    <mergeCell ref="A13:B13"/>
    <mergeCell ref="A27:A28"/>
    <mergeCell ref="C25:D25"/>
    <mergeCell ref="B59:C59"/>
    <mergeCell ref="G57:H57"/>
    <mergeCell ref="A40:E40"/>
    <mergeCell ref="A17:B17"/>
    <mergeCell ref="A31:B31"/>
    <mergeCell ref="C1:K1"/>
    <mergeCell ref="I82:K82"/>
    <mergeCell ref="F82:H82"/>
    <mergeCell ref="C10:D10"/>
    <mergeCell ref="B2:D2"/>
    <mergeCell ref="I2:J2"/>
    <mergeCell ref="C8:D8"/>
    <mergeCell ref="F2:H2"/>
    <mergeCell ref="C5:D5"/>
    <mergeCell ref="C39:D39"/>
    <mergeCell ref="I9:J9"/>
    <mergeCell ref="A9:D9"/>
    <mergeCell ref="C11:D11"/>
    <mergeCell ref="H30:I30"/>
    <mergeCell ref="B27:M28"/>
    <mergeCell ref="I11:J11"/>
  </mergeCells>
  <phoneticPr fontId="0" type="noConversion"/>
  <conditionalFormatting sqref="B41:H41">
    <cfRule type="containsText" dxfId="15" priority="9" operator="containsText" text="(4) The indicated Market Contribution exceeds the Maximal Market Contribution.">
      <formula>NOT(ISERROR(SEARCH("(4) The indicated Market Contribution exceeds the Maximal Market Contribution.",B41)))</formula>
    </cfRule>
  </conditionalFormatting>
  <conditionalFormatting sqref="D84 G84">
    <cfRule type="containsText" dxfId="14" priority="47" operator="containsText" text="No">
      <formula>NOT(ISERROR(SEARCH("No",D84)))</formula>
    </cfRule>
  </conditionalFormatting>
  <conditionalFormatting sqref="D85 G85 J85">
    <cfRule type="containsText" dxfId="13" priority="4" operator="containsText" text="No">
      <formula>NOT(ISERROR(SEARCH("No",D85)))</formula>
    </cfRule>
  </conditionalFormatting>
  <conditionalFormatting sqref="E60:E63 E65:E68 E70:E76 E78:E79">
    <cfRule type="containsText" dxfId="12" priority="3" operator="containsText" text="No">
      <formula>NOT(ISERROR(SEARCH("No",E60)))</formula>
    </cfRule>
  </conditionalFormatting>
  <conditionalFormatting sqref="H40:J40">
    <cfRule type="expression" dxfId="11" priority="1">
      <formula>$J$40&lt;&gt;""</formula>
    </cfRule>
  </conditionalFormatting>
  <dataValidations xWindow="1075" yWindow="767" count="11">
    <dataValidation type="decimal" allowBlank="1" showErrorMessage="1" errorTitle="Not a number" error="Enter the Envelope Contribution for this licence" sqref="E23 E20:E21" xr:uid="{F63A70E6-0F48-4E20-B3ED-576284694FC1}">
      <formula1>0</formula1>
      <formula2>999999999999999</formula2>
    </dataValidation>
    <dataValidation type="whole" allowBlank="1" showInputMessage="1" showErrorMessage="1" errorTitle="Not a number" error="Enter the Envelope Contribution for this licence" sqref="E32:E38" xr:uid="{00000000-0002-0000-0000-000003000000}">
      <formula1>0</formula1>
      <formula2>999999999999999</formula2>
    </dataValidation>
    <dataValidation type="whole" allowBlank="1" showInputMessage="1" showErrorMessage="1" sqref="L18:L23" xr:uid="{74DF8795-2F5D-4BD6-AA48-3771E91534E7}">
      <formula1>0</formula1>
      <formula2>999</formula2>
    </dataValidation>
    <dataValidation type="list" allowBlank="1" showInputMessage="1" showErrorMessage="1" sqref="E8:E9" xr:uid="{BB589294-0920-42BA-A1B4-E5DDC508F6B3}">
      <formula1>$A$61:$A$63</formula1>
    </dataValidation>
    <dataValidation type="decimal" allowBlank="1" showInputMessage="1" showErrorMessage="1" errorTitle="Not a number" error="Enter the Envelope Contribution for this licence" sqref="E18:F19 H19" xr:uid="{B2F97915-7226-4D67-AD92-05DF4EA18312}">
      <formula1>0</formula1>
      <formula2>999999999999999</formula2>
    </dataValidation>
    <dataValidation allowBlank="1" showInputMessage="1" showErrorMessage="1" promptTitle="# of Months" prompt="Enter adjusted exclusivity in &quot;number of months&quot;." sqref="P32:P37" xr:uid="{00000000-0002-0000-0000-000004000000}"/>
    <dataValidation allowBlank="1" showInputMessage="1" showErrorMessage="1" prompt="Please enter first the broadcasters, see note (1) here-above" sqref="G18:H18" xr:uid="{E84FA62B-AE2F-4AD8-83DF-4D74D8574F97}"/>
    <dataValidation type="whole" allowBlank="1" showInputMessage="1" showErrorMessage="1" promptTitle="# of months" prompt="Enter the licence term in months. Equations are allowable (i.e. =6*12)" sqref="K18:K23" xr:uid="{180744F7-473F-4C60-AA75-8A5ACBA05307}">
      <formula1>1</formula1>
      <formula2>999</formula2>
    </dataValidation>
    <dataValidation type="date" allowBlank="1" showInputMessage="1" showErrorMessage="1" promptTitle="Date" prompt="ex. Y-M-D" sqref="I18:I23" xr:uid="{6D218E56-C23B-46CE-9515-E6B953DAB4F7}">
      <formula1>36526</formula1>
      <formula2>401749</formula2>
    </dataValidation>
    <dataValidation type="custom" showInputMessage="1" showErrorMessage="1" error="Please do not delete" sqref="I58 A58" xr:uid="{533284CE-5D37-439D-8001-E3E603AFEB33}">
      <formula1>""</formula1>
    </dataValidation>
    <dataValidation allowBlank="1" showInputMessage="1" showErrorMessage="1" promptTitle="Intl. Entity MMC" prompt="For C&amp;Y the ELF and MMC must be at least 75% of Threshold. Also see note (3)." sqref="I40" xr:uid="{784AF65A-A512-4046-85D0-A3E7176EB038}"/>
  </dataValidations>
  <printOptions horizontalCentered="1"/>
  <pageMargins left="0.6692913385826772" right="0.6692913385826772" top="0.59055118110236227" bottom="0.6692913385826772" header="0.51181102362204722" footer="0.51181102362204722"/>
  <pageSetup scale="64" orientation="landscape" r:id="rId1"/>
  <headerFooter alignWithMargins="0">
    <oddFooter>&amp;C&amp;P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Drop Down 57">
              <controlPr locked="0" defaultSize="0" autoLine="0" autoPict="0">
                <anchor moveWithCells="1">
                  <from>
                    <xdr:col>2</xdr:col>
                    <xdr:colOff>19050</xdr:colOff>
                    <xdr:row>12</xdr:row>
                    <xdr:rowOff>19050</xdr:rowOff>
                  </from>
                  <to>
                    <xdr:col>6</xdr:col>
                    <xdr:colOff>19050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DAE2-1C0D-45DA-98AC-F9402C0BC7B7}">
  <sheetPr>
    <tabColor rgb="FF0070C0"/>
  </sheetPr>
  <dimension ref="A1:AU144"/>
  <sheetViews>
    <sheetView zoomScaleNormal="100" workbookViewId="0">
      <selection activeCell="B2" sqref="B2:D2"/>
    </sheetView>
  </sheetViews>
  <sheetFormatPr baseColWidth="10" defaultColWidth="8.88671875" defaultRowHeight="15.75" x14ac:dyDescent="0.25"/>
  <cols>
    <col min="1" max="1" width="14.109375" style="140" customWidth="1"/>
    <col min="2" max="2" width="20.88671875" style="494" customWidth="1"/>
    <col min="3" max="3" width="14.21875" style="140" customWidth="1"/>
    <col min="4" max="4" width="13.77734375" style="140" customWidth="1"/>
    <col min="5" max="5" width="13.5546875" style="140" customWidth="1"/>
    <col min="6" max="6" width="12.88671875" style="140" customWidth="1"/>
    <col min="7" max="7" width="11.6640625" style="140" customWidth="1"/>
    <col min="8" max="8" width="12.21875" style="140" customWidth="1"/>
    <col min="9" max="11" width="10.6640625" style="140" customWidth="1"/>
    <col min="12" max="15" width="9.6640625" style="140" customWidth="1"/>
    <col min="16" max="16" width="14.21875" style="140" hidden="1" customWidth="1"/>
    <col min="17" max="18" width="8.88671875" style="140" hidden="1" customWidth="1"/>
    <col min="19" max="21" width="8.88671875" style="140" customWidth="1"/>
    <col min="22" max="22" width="10.88671875" style="140" bestFit="1" customWidth="1"/>
    <col min="23" max="24" width="8.88671875" style="140"/>
    <col min="25" max="25" width="9.77734375" style="140" bestFit="1" customWidth="1"/>
    <col min="26" max="41" width="8.88671875" style="140"/>
    <col min="42" max="16384" width="8.88671875" style="493"/>
  </cols>
  <sheetData>
    <row r="1" spans="1:46" s="121" customFormat="1" ht="82.9" customHeight="1" thickBot="1" x14ac:dyDescent="0.3">
      <c r="A1" s="119"/>
      <c r="B1" s="524"/>
      <c r="C1" s="592" t="s">
        <v>131</v>
      </c>
      <c r="D1" s="592"/>
      <c r="E1" s="593"/>
      <c r="F1" s="593"/>
      <c r="G1" s="593"/>
      <c r="H1" s="593"/>
      <c r="I1" s="593"/>
      <c r="J1" s="593"/>
      <c r="K1" s="593"/>
      <c r="L1" s="120"/>
      <c r="M1" s="120"/>
      <c r="N1" s="120"/>
      <c r="O1" s="120"/>
      <c r="P1" s="120"/>
      <c r="Q1" s="120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</row>
    <row r="2" spans="1:46" s="126" customFormat="1" ht="30" customHeight="1" thickBot="1" x14ac:dyDescent="0.25">
      <c r="A2" s="122" t="s">
        <v>132</v>
      </c>
      <c r="B2" s="594"/>
      <c r="C2" s="594"/>
      <c r="D2" s="595"/>
      <c r="E2" s="123" t="s">
        <v>133</v>
      </c>
      <c r="F2" s="594"/>
      <c r="G2" s="595"/>
      <c r="H2" s="124"/>
      <c r="I2" s="123" t="s">
        <v>134</v>
      </c>
      <c r="J2" s="596"/>
      <c r="K2" s="597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</row>
    <row r="3" spans="1:46" s="126" customFormat="1" ht="21" x14ac:dyDescent="0.2">
      <c r="A3" s="86" t="s">
        <v>135</v>
      </c>
      <c r="B3" s="127"/>
      <c r="C3" s="128"/>
      <c r="D3" s="129"/>
      <c r="F3" s="61"/>
      <c r="G3" s="130"/>
      <c r="I3" s="61"/>
      <c r="J3" s="131"/>
      <c r="K3" s="131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</row>
    <row r="4" spans="1:46" s="136" customFormat="1" x14ac:dyDescent="0.2">
      <c r="A4" s="143"/>
      <c r="B4" s="144"/>
      <c r="C4" s="134"/>
      <c r="D4" s="523"/>
      <c r="E4" s="135"/>
      <c r="F4" s="128"/>
      <c r="G4" s="128"/>
      <c r="H4" s="128"/>
      <c r="I4" s="128"/>
      <c r="J4" s="128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</row>
    <row r="5" spans="1:46" s="136" customFormat="1" ht="29.25" customHeight="1" x14ac:dyDescent="0.2">
      <c r="A5" s="633" t="s">
        <v>136</v>
      </c>
      <c r="B5" s="634"/>
      <c r="C5" s="134"/>
      <c r="D5" s="134"/>
      <c r="E5" s="135"/>
      <c r="F5" s="128"/>
      <c r="G5" s="128"/>
      <c r="H5" s="120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</row>
    <row r="6" spans="1:46" s="136" customFormat="1" x14ac:dyDescent="0.2">
      <c r="A6" s="132"/>
      <c r="B6" s="133"/>
      <c r="C6" s="133"/>
      <c r="D6" s="134"/>
      <c r="E6" s="134"/>
      <c r="F6" s="134"/>
      <c r="G6" s="135"/>
      <c r="H6" s="128"/>
      <c r="I6" s="128"/>
      <c r="J6" s="128"/>
      <c r="K6" s="128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</row>
    <row r="7" spans="1:46" s="142" customFormat="1" ht="24.95" customHeight="1" x14ac:dyDescent="0.25">
      <c r="C7" s="598" t="s">
        <v>137</v>
      </c>
      <c r="D7" s="599"/>
      <c r="E7" s="102"/>
      <c r="F7" s="105" t="s">
        <v>138</v>
      </c>
      <c r="G7" s="88"/>
      <c r="H7" s="105" t="s">
        <v>139</v>
      </c>
      <c r="I7" s="88"/>
      <c r="J7" s="137" t="s">
        <v>140</v>
      </c>
      <c r="K7" s="89">
        <f>(G7*I7)/60</f>
        <v>0</v>
      </c>
      <c r="L7" s="138"/>
      <c r="M7" s="138"/>
      <c r="N7" s="138"/>
      <c r="O7" s="138"/>
      <c r="P7" s="138"/>
      <c r="Q7" s="139"/>
      <c r="R7" s="139"/>
      <c r="S7" s="140"/>
      <c r="T7" s="141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1:46" s="136" customFormat="1" x14ac:dyDescent="0.2">
      <c r="A8" s="143"/>
      <c r="B8" s="144"/>
      <c r="C8" s="134"/>
      <c r="D8" s="145"/>
      <c r="E8" s="135"/>
      <c r="F8" s="128"/>
      <c r="G8" s="128"/>
      <c r="H8" s="128"/>
      <c r="I8" s="128"/>
      <c r="J8" s="128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</row>
    <row r="9" spans="1:46" s="142" customFormat="1" ht="24.95" customHeight="1" x14ac:dyDescent="0.25">
      <c r="C9" s="598" t="s">
        <v>141</v>
      </c>
      <c r="D9" s="599"/>
      <c r="E9" s="100"/>
      <c r="F9" s="118">
        <f>IF(E9="Oui",60%,49%)</f>
        <v>0.49</v>
      </c>
      <c r="I9" s="128"/>
      <c r="J9" s="137" t="s">
        <v>143</v>
      </c>
      <c r="K9" s="147">
        <f>IF(K7=0,0,E7/$K$7)</f>
        <v>0</v>
      </c>
      <c r="L9" s="125"/>
      <c r="M9" s="139"/>
      <c r="N9" s="140"/>
      <c r="O9" s="141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</row>
    <row r="10" spans="1:46" s="142" customFormat="1" ht="24.95" customHeight="1" x14ac:dyDescent="0.25">
      <c r="C10" s="635" t="s">
        <v>144</v>
      </c>
      <c r="D10" s="636"/>
      <c r="E10" s="100"/>
      <c r="F10" s="146"/>
      <c r="I10" s="146"/>
      <c r="L10" s="138"/>
      <c r="M10" s="139"/>
      <c r="N10" s="140"/>
      <c r="O10" s="141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</row>
    <row r="11" spans="1:46" s="136" customFormat="1" ht="24.95" customHeight="1" x14ac:dyDescent="0.2">
      <c r="A11" s="148"/>
      <c r="B11" s="148"/>
      <c r="C11" s="134"/>
      <c r="D11" s="134"/>
      <c r="E11" s="435"/>
      <c r="F11" s="128"/>
      <c r="I11" s="562" t="s">
        <v>260</v>
      </c>
      <c r="J11" s="563"/>
      <c r="K11" s="332" t="str">
        <f>IFERROR(IF(OR(A68&lt;2,A68=21,N(E7)=0,K9=0),"",IF(AND(AND(A68&gt;15,A68&lt;21),K9&gt;=800000),"Oui",IF(AND(OR(A68&lt;5,AND(A68&gt;11,A68&lt;16)),K9&gt;=750000),"Oui",IF(AND(AND(A68&gt;6,A68&lt;12),K9&gt;=400000),"Oui","Non")))),"")</f>
        <v/>
      </c>
      <c r="L11" s="436" t="str">
        <f>IFERROR(IF(K11="Oui","S/O pour les productions d’animation",""),"")</f>
        <v/>
      </c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</row>
    <row r="12" spans="1:46" s="136" customFormat="1" ht="24.95" customHeight="1" x14ac:dyDescent="0.2">
      <c r="A12" s="148"/>
      <c r="F12" s="128"/>
      <c r="I12" s="562" t="s">
        <v>145</v>
      </c>
      <c r="J12" s="563"/>
      <c r="K12" s="89" t="str">
        <f>IF(N(E$7)=0,"",IF(E$7&gt;500000,"Oui","Non"))</f>
        <v/>
      </c>
      <c r="L12" s="338" t="str">
        <f>IFERROR(IF(K12="Oui","S/O pour les productions tournées en direct",""),"")</f>
        <v/>
      </c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</row>
    <row r="13" spans="1:46" s="136" customFormat="1" ht="24.95" hidden="1" customHeight="1" x14ac:dyDescent="0.2">
      <c r="B13" s="598" t="s">
        <v>146</v>
      </c>
      <c r="C13" s="645"/>
      <c r="D13" s="646"/>
      <c r="E13" s="149" t="s">
        <v>142</v>
      </c>
      <c r="F13" s="128"/>
      <c r="I13" s="128"/>
      <c r="J13" s="120"/>
      <c r="K13" s="138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</row>
    <row r="14" spans="1:46" s="150" customFormat="1" ht="24.95" customHeight="1" x14ac:dyDescent="0.2">
      <c r="C14" s="635" t="s">
        <v>147</v>
      </c>
      <c r="D14" s="636"/>
      <c r="E14" s="152"/>
      <c r="J14" s="151"/>
      <c r="K14" s="138"/>
      <c r="L14" s="125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</row>
    <row r="15" spans="1:46" s="136" customFormat="1" ht="24.95" customHeight="1" x14ac:dyDescent="0.2">
      <c r="B15" s="442"/>
      <c r="C15" s="649" t="s">
        <v>148</v>
      </c>
      <c r="D15" s="650"/>
      <c r="E15" s="100"/>
      <c r="F15" s="150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</row>
    <row r="16" spans="1:46" s="136" customFormat="1" ht="24.95" customHeight="1" x14ac:dyDescent="0.2">
      <c r="A16" s="148"/>
      <c r="B16" s="615" t="s">
        <v>149</v>
      </c>
      <c r="C16" s="647"/>
      <c r="D16" s="648"/>
      <c r="E16" s="193"/>
      <c r="L16" s="138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</row>
    <row r="17" spans="1:41" s="150" customFormat="1" ht="24.95" customHeight="1" x14ac:dyDescent="0.2">
      <c r="B17" s="442"/>
      <c r="C17" s="622" t="s">
        <v>150</v>
      </c>
      <c r="D17" s="623"/>
      <c r="E17" s="157"/>
      <c r="J17" s="136"/>
      <c r="K17" s="146"/>
      <c r="L17" s="146"/>
      <c r="M17" s="197"/>
      <c r="N17" s="208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</row>
    <row r="18" spans="1:41" s="150" customFormat="1" ht="24.95" customHeight="1" x14ac:dyDescent="0.2">
      <c r="B18" s="442"/>
      <c r="C18" s="622" t="s">
        <v>259</v>
      </c>
      <c r="D18" s="623"/>
      <c r="E18" s="653">
        <f>IF(E7=0,0,E17/E7)</f>
        <v>0</v>
      </c>
      <c r="J18" s="136"/>
      <c r="K18" s="146"/>
      <c r="L18" s="146"/>
      <c r="M18" s="197"/>
      <c r="N18" s="208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</row>
    <row r="19" spans="1:41" s="150" customFormat="1" ht="39.950000000000003" customHeight="1" x14ac:dyDescent="0.2">
      <c r="F19" s="443" t="s">
        <v>151</v>
      </c>
      <c r="G19" s="153" t="s">
        <v>152</v>
      </c>
      <c r="H19" s="153" t="s">
        <v>153</v>
      </c>
      <c r="I19" s="153" t="s">
        <v>154</v>
      </c>
      <c r="J19" s="448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</row>
    <row r="20" spans="1:41" s="150" customFormat="1" ht="24.95" customHeight="1" x14ac:dyDescent="0.2">
      <c r="A20" s="154"/>
      <c r="B20" s="615" t="s">
        <v>155</v>
      </c>
      <c r="C20" s="616"/>
      <c r="D20" s="617"/>
      <c r="E20" s="445">
        <f>C$34-E$14</f>
        <v>0</v>
      </c>
      <c r="F20" s="444">
        <f>IF(E$7=0,0,E$20/E$7)</f>
        <v>0</v>
      </c>
      <c r="G20" s="446">
        <f>ROUND(E$7*7%,0)</f>
        <v>0</v>
      </c>
      <c r="H20" s="447" t="str">
        <f>IF(E$20&gt;=G$20,"Oui","Non")</f>
        <v>Oui</v>
      </c>
      <c r="I20" s="447">
        <f>E$20-G$20</f>
        <v>0</v>
      </c>
      <c r="J20" s="449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</row>
    <row r="21" spans="1:41" s="150" customFormat="1" ht="15" x14ac:dyDescent="0.2">
      <c r="F21" s="155"/>
      <c r="G21" s="156"/>
      <c r="H21" s="155"/>
      <c r="I21" s="200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</row>
    <row r="22" spans="1:41" s="150" customFormat="1" ht="15" x14ac:dyDescent="0.2">
      <c r="F22" s="155"/>
      <c r="G22" s="155"/>
      <c r="H22" s="155"/>
      <c r="I22" s="13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</row>
    <row r="23" spans="1:41" s="136" customFormat="1" x14ac:dyDescent="0.2">
      <c r="A23" s="551" t="s">
        <v>258</v>
      </c>
      <c r="C23" s="158"/>
      <c r="D23" s="158"/>
      <c r="E23" s="158"/>
      <c r="F23" s="159"/>
      <c r="G23" s="125"/>
      <c r="H23" s="158"/>
      <c r="J23" s="158"/>
      <c r="K23" s="158"/>
      <c r="L23" s="158"/>
      <c r="M23" s="158"/>
      <c r="N23" s="158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</row>
    <row r="24" spans="1:41" s="136" customFormat="1" x14ac:dyDescent="0.2">
      <c r="A24" s="437" t="s">
        <v>156</v>
      </c>
      <c r="B24" s="215"/>
      <c r="C24" s="215"/>
      <c r="D24" s="212"/>
      <c r="E24" s="214"/>
      <c r="F24" s="213"/>
      <c r="G24" s="213"/>
      <c r="H24" s="146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</row>
    <row r="25" spans="1:41" s="136" customFormat="1" x14ac:dyDescent="0.2">
      <c r="A25" s="438" t="s">
        <v>157</v>
      </c>
      <c r="B25" s="160"/>
      <c r="C25" s="160"/>
      <c r="D25" s="160"/>
      <c r="E25" s="160"/>
      <c r="G25" s="201"/>
      <c r="H25" s="202"/>
      <c r="I25" s="542" t="s">
        <v>158</v>
      </c>
      <c r="J25" s="202"/>
      <c r="K25" s="203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</row>
    <row r="26" spans="1:41" s="136" customFormat="1" ht="66" customHeight="1" x14ac:dyDescent="0.2">
      <c r="A26" s="610" t="s">
        <v>159</v>
      </c>
      <c r="B26" s="611"/>
      <c r="C26" s="191" t="s">
        <v>160</v>
      </c>
      <c r="D26" s="96" t="s">
        <v>257</v>
      </c>
      <c r="E26" s="96" t="s">
        <v>161</v>
      </c>
      <c r="F26" s="238" t="s">
        <v>162</v>
      </c>
      <c r="G26" s="58" t="s">
        <v>163</v>
      </c>
      <c r="H26" s="162" t="s">
        <v>164</v>
      </c>
      <c r="I26" s="163" t="s">
        <v>165</v>
      </c>
      <c r="J26" s="163" t="s">
        <v>166</v>
      </c>
      <c r="K26" s="163" t="s">
        <v>167</v>
      </c>
      <c r="L26" s="120"/>
      <c r="M26" s="125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</row>
    <row r="27" spans="1:41" s="136" customFormat="1" ht="20.100000000000001" customHeight="1" x14ac:dyDescent="0.2">
      <c r="A27" s="220"/>
      <c r="B27" s="221" t="s">
        <v>168</v>
      </c>
      <c r="C27" s="176">
        <f>E14</f>
        <v>0</v>
      </c>
      <c r="D27" s="519"/>
      <c r="E27" s="520"/>
      <c r="F27" s="205"/>
      <c r="G27" s="520"/>
      <c r="H27" s="520"/>
      <c r="I27" s="520"/>
      <c r="J27" s="520"/>
      <c r="K27" s="521"/>
      <c r="L27" s="120"/>
      <c r="M27" s="125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</row>
    <row r="28" spans="1:41" s="136" customFormat="1" ht="20.100000000000001" customHeight="1" x14ac:dyDescent="0.2">
      <c r="A28" s="81" t="s">
        <v>169</v>
      </c>
      <c r="B28" s="90"/>
      <c r="C28" s="421"/>
      <c r="D28" s="421"/>
      <c r="E28" s="439"/>
      <c r="F28" s="439"/>
      <c r="G28" s="422"/>
      <c r="H28" s="549">
        <f t="shared" ref="H28:H33" si="0">DATE(YEAR(G28),(MONTH(G28)+I28),DAY(G28))</f>
        <v>0</v>
      </c>
      <c r="I28" s="425"/>
      <c r="J28" s="425"/>
      <c r="K28" s="425"/>
      <c r="L28" s="120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</row>
    <row r="29" spans="1:41" s="136" customFormat="1" ht="20.100000000000001" customHeight="1" x14ac:dyDescent="0.2">
      <c r="A29" s="76" t="s">
        <v>170</v>
      </c>
      <c r="B29" s="90"/>
      <c r="C29" s="421"/>
      <c r="D29" s="421"/>
      <c r="E29" s="440"/>
      <c r="F29" s="440"/>
      <c r="G29" s="422"/>
      <c r="H29" s="549">
        <f t="shared" si="0"/>
        <v>0</v>
      </c>
      <c r="I29" s="425"/>
      <c r="J29" s="425"/>
      <c r="K29" s="425"/>
      <c r="L29" s="120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</row>
    <row r="30" spans="1:41" s="136" customFormat="1" ht="20.100000000000001" customHeight="1" x14ac:dyDescent="0.2">
      <c r="A30" s="76" t="s">
        <v>171</v>
      </c>
      <c r="B30" s="101"/>
      <c r="C30" s="421"/>
      <c r="D30" s="421"/>
      <c r="E30" s="440"/>
      <c r="F30" s="440"/>
      <c r="G30" s="422"/>
      <c r="H30" s="549">
        <f t="shared" si="0"/>
        <v>0</v>
      </c>
      <c r="I30" s="425"/>
      <c r="J30" s="425"/>
      <c r="K30" s="4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</row>
    <row r="31" spans="1:41" s="136" customFormat="1" ht="20.100000000000001" customHeight="1" x14ac:dyDescent="0.2">
      <c r="A31" s="76" t="s">
        <v>172</v>
      </c>
      <c r="B31" s="101"/>
      <c r="C31" s="421"/>
      <c r="D31" s="421"/>
      <c r="E31" s="440"/>
      <c r="F31" s="440"/>
      <c r="G31" s="422"/>
      <c r="H31" s="549">
        <f t="shared" si="0"/>
        <v>0</v>
      </c>
      <c r="I31" s="425"/>
      <c r="J31" s="425"/>
      <c r="K31" s="4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</row>
    <row r="32" spans="1:41" s="136" customFormat="1" ht="20.100000000000001" customHeight="1" x14ac:dyDescent="0.2">
      <c r="A32" s="76" t="s">
        <v>173</v>
      </c>
      <c r="B32" s="101"/>
      <c r="C32" s="421"/>
      <c r="D32" s="421"/>
      <c r="E32" s="440"/>
      <c r="F32" s="440"/>
      <c r="G32" s="422"/>
      <c r="H32" s="549">
        <f t="shared" si="0"/>
        <v>0</v>
      </c>
      <c r="I32" s="425"/>
      <c r="J32" s="425"/>
      <c r="K32" s="426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</row>
    <row r="33" spans="1:43" s="136" customFormat="1" ht="20.100000000000001" customHeight="1" thickBot="1" x14ac:dyDescent="0.25">
      <c r="A33" s="76" t="s">
        <v>174</v>
      </c>
      <c r="B33" s="101"/>
      <c r="C33" s="421"/>
      <c r="D33" s="423"/>
      <c r="E33" s="440"/>
      <c r="F33" s="440"/>
      <c r="G33" s="424"/>
      <c r="H33" s="549">
        <f t="shared" si="0"/>
        <v>0</v>
      </c>
      <c r="I33" s="425"/>
      <c r="J33" s="425"/>
      <c r="K33" s="426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</row>
    <row r="34" spans="1:43" s="129" customFormat="1" ht="20.100000000000001" customHeight="1" thickBot="1" x14ac:dyDescent="0.25">
      <c r="B34" s="164" t="s">
        <v>175</v>
      </c>
      <c r="C34" s="497">
        <f>SUM(C27:C33)</f>
        <v>0</v>
      </c>
      <c r="D34" s="497">
        <f>SUM(D28:D33)</f>
        <v>0</v>
      </c>
      <c r="E34" s="441">
        <f>SUM(E28:E33)</f>
        <v>0</v>
      </c>
      <c r="F34" s="441">
        <f>SUM(F28:F33)</f>
        <v>0</v>
      </c>
      <c r="G34" s="498"/>
      <c r="H34" s="498"/>
      <c r="I34" s="498"/>
      <c r="J34" s="498"/>
      <c r="K34" s="499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66"/>
    </row>
    <row r="35" spans="1:43" s="129" customFormat="1" x14ac:dyDescent="0.2">
      <c r="D35" s="211"/>
      <c r="H35" s="165"/>
      <c r="I35" s="165"/>
      <c r="J35" s="166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66"/>
    </row>
    <row r="36" spans="1:43" s="136" customFormat="1" ht="22.5" customHeight="1" x14ac:dyDescent="0.2">
      <c r="A36" s="643" t="s">
        <v>176</v>
      </c>
      <c r="B36" s="637"/>
      <c r="C36" s="638"/>
      <c r="D36" s="638"/>
      <c r="E36" s="638"/>
      <c r="F36" s="638"/>
      <c r="G36" s="638"/>
      <c r="H36" s="638"/>
      <c r="I36" s="638"/>
      <c r="J36" s="638"/>
      <c r="K36" s="639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</row>
    <row r="37" spans="1:43" s="136" customFormat="1" ht="22.5" customHeight="1" x14ac:dyDescent="0.2">
      <c r="A37" s="644"/>
      <c r="B37" s="640"/>
      <c r="C37" s="641"/>
      <c r="D37" s="641"/>
      <c r="E37" s="641"/>
      <c r="F37" s="641"/>
      <c r="G37" s="641"/>
      <c r="H37" s="641"/>
      <c r="I37" s="641"/>
      <c r="J37" s="641"/>
      <c r="K37" s="642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</row>
    <row r="38" spans="1:43" s="136" customFormat="1" ht="13.5" customHeight="1" x14ac:dyDescent="0.2"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</row>
    <row r="39" spans="1:43" s="136" customFormat="1" x14ac:dyDescent="0.2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</row>
    <row r="40" spans="1:43" s="173" customFormat="1" x14ac:dyDescent="0.25">
      <c r="A40" s="169" t="s">
        <v>177</v>
      </c>
      <c r="B40" s="170"/>
      <c r="C40" s="171"/>
      <c r="D40" s="172"/>
      <c r="E40" s="172"/>
      <c r="F40" s="172"/>
      <c r="H40" s="618" t="s">
        <v>178</v>
      </c>
      <c r="I40" s="619"/>
      <c r="J40"/>
      <c r="K40" s="174"/>
      <c r="L40" s="121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</row>
    <row r="41" spans="1:43" s="136" customFormat="1" ht="68.099999999999994" customHeight="1" x14ac:dyDescent="0.2">
      <c r="A41" s="610" t="s">
        <v>179</v>
      </c>
      <c r="B41" s="611"/>
      <c r="C41" s="81" t="s">
        <v>180</v>
      </c>
      <c r="D41" s="81" t="s">
        <v>181</v>
      </c>
      <c r="E41" s="161" t="s">
        <v>182</v>
      </c>
      <c r="F41" s="161" t="s">
        <v>183</v>
      </c>
      <c r="G41" s="238" t="s">
        <v>184</v>
      </c>
      <c r="H41" s="238" t="s">
        <v>185</v>
      </c>
      <c r="I41" s="238" t="s">
        <v>186</v>
      </c>
      <c r="J41" s="238" t="s">
        <v>187</v>
      </c>
      <c r="K41" s="238" t="s">
        <v>188</v>
      </c>
      <c r="L41" s="528" t="s">
        <v>189</v>
      </c>
      <c r="M41"/>
      <c r="O41" s="120"/>
      <c r="P41" s="81" t="s">
        <v>190</v>
      </c>
      <c r="Q41" s="81" t="s">
        <v>191</v>
      </c>
      <c r="R41" s="81" t="s">
        <v>192</v>
      </c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</row>
    <row r="42" spans="1:43" s="136" customFormat="1" ht="15" customHeight="1" x14ac:dyDescent="0.2">
      <c r="A42" s="175" t="s">
        <v>168</v>
      </c>
      <c r="B42" s="427"/>
      <c r="C42" s="428">
        <f>IF($E$49-(E7*0.25)&lt;100000,E42,IF((E7*0.25)&lt;MIN(E14,F94:F98),ROUND(E7*0.25,0),MIN(E14,F94:F98)))</f>
        <v>0</v>
      </c>
      <c r="D42" s="428">
        <f t="shared" ref="D42:D48" si="1">E42-C42</f>
        <v>0</v>
      </c>
      <c r="E42" s="428">
        <f>IF(MAX(F$94:F$98)&lt;E14,MAX(F$94:F$98),(E14))</f>
        <v>0</v>
      </c>
      <c r="F42" s="473" t="str">
        <f>IF($E$7=0,"",E42/$E$7)</f>
        <v/>
      </c>
      <c r="G42" s="452"/>
      <c r="H42" s="453"/>
      <c r="I42" s="455"/>
      <c r="J42" s="454"/>
      <c r="K42" s="453"/>
      <c r="L42" s="457"/>
      <c r="M42"/>
      <c r="N42" s="120"/>
      <c r="O42" s="120"/>
      <c r="P42" s="177"/>
      <c r="Q42" s="178"/>
      <c r="R42" s="194"/>
      <c r="S42" s="120"/>
      <c r="T42" s="120"/>
      <c r="U42" s="120"/>
      <c r="V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</row>
    <row r="43" spans="1:43" s="136" customFormat="1" ht="15" customHeight="1" x14ac:dyDescent="0.2">
      <c r="A43" s="117" t="s">
        <v>169</v>
      </c>
      <c r="B43" s="427">
        <f>$B$28</f>
        <v>0</v>
      </c>
      <c r="C43" s="428">
        <f t="shared" ref="C43:C48" si="2">IF(($C$49-$C$42)&gt;0,ROUND(E43/($E$49-$E$42)*($C$49-$C$42),0),0)</f>
        <v>0</v>
      </c>
      <c r="D43" s="428">
        <f t="shared" si="1"/>
        <v>0</v>
      </c>
      <c r="E43" s="428">
        <f>IF($E$49-E$42=0,0,ROUND(((C28/(C$34-C$27))*($E$49-E$42)),0))</f>
        <v>0</v>
      </c>
      <c r="F43" s="471" t="str">
        <f t="shared" ref="F43:F48" si="3">IF($E$7=0,"",E43/$E$7)</f>
        <v/>
      </c>
      <c r="G43" s="430">
        <f>$H$54</f>
        <v>0</v>
      </c>
      <c r="H43" s="430" t="s">
        <v>193</v>
      </c>
      <c r="I43" s="430" t="s">
        <v>193</v>
      </c>
      <c r="J43" s="409" t="str">
        <f>IF($E$7=0,"",(N(H43)+N(I43)+G43)/E$7)</f>
        <v/>
      </c>
      <c r="K43" s="456"/>
      <c r="L43" s="529">
        <f>MAX(D28+E28+F28-G43-N(H43)-N(I43),0)</f>
        <v>0</v>
      </c>
      <c r="M43"/>
      <c r="N43" s="204"/>
      <c r="O43" s="125"/>
      <c r="P43" s="179">
        <f>IF($J$68=4,IF(I28&lt;60,I28,60),IF(I28&lt;72,I28,72))</f>
        <v>0</v>
      </c>
      <c r="Q43" s="179">
        <f t="shared" ref="Q43:Q48" si="4">J28</f>
        <v>0</v>
      </c>
      <c r="R43" s="195" t="s">
        <v>193</v>
      </c>
      <c r="S43" s="125"/>
      <c r="T43" s="125"/>
      <c r="U43" s="125"/>
      <c r="V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</row>
    <row r="44" spans="1:43" s="136" customFormat="1" ht="15" customHeight="1" x14ac:dyDescent="0.2">
      <c r="A44" s="76" t="s">
        <v>170</v>
      </c>
      <c r="B44" s="431">
        <f>$B$29</f>
        <v>0</v>
      </c>
      <c r="C44" s="428">
        <f t="shared" si="2"/>
        <v>0</v>
      </c>
      <c r="D44" s="428">
        <f t="shared" si="1"/>
        <v>0</v>
      </c>
      <c r="E44" s="428">
        <f>IF($E$49-E$42=0,0,ROUND(((C29/(C$34-C$27))*($E$49-E$42)),0))</f>
        <v>0</v>
      </c>
      <c r="F44" s="471" t="str">
        <f t="shared" si="3"/>
        <v/>
      </c>
      <c r="G44" s="428">
        <f>$H$56</f>
        <v>0</v>
      </c>
      <c r="H44" s="428" t="str">
        <f>IF(AND(E29=0,E$34&gt;=H$49),"",ROUND((E29*H$49/E$34),0))</f>
        <v/>
      </c>
      <c r="I44" s="428" t="str">
        <f>IF($I$49&gt;0,MIN(F29,(F29/$F$34)*I$49),"")</f>
        <v/>
      </c>
      <c r="J44" s="409" t="str">
        <f t="shared" ref="J44:J48" si="5">IF($E$7=0,"",(N(H44)+N(I44)+G44)/E$7)</f>
        <v/>
      </c>
      <c r="K44" s="429"/>
      <c r="L44" s="529">
        <f t="shared" ref="L44:L48" si="6">MAX(D29+E29+F29-G44-N(H44)-N(I44),0)</f>
        <v>0</v>
      </c>
      <c r="M44"/>
      <c r="N44" s="204"/>
      <c r="O44" s="125"/>
      <c r="P44" s="179">
        <f>IF(I29=0,0,IF(I29&lt;F56,I29,$F$56))</f>
        <v>0</v>
      </c>
      <c r="Q44" s="179">
        <f t="shared" si="4"/>
        <v>0</v>
      </c>
      <c r="R44" s="196">
        <f>IF(G29&gt;DATE(YEAR(G$28),MONTH(G$28)+Q43,DAY(G$28)),G29,DATE(YEAR(G$28),MONTH(G$28)+Q43,DAY(G$28)))</f>
        <v>0</v>
      </c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</row>
    <row r="45" spans="1:43" s="136" customFormat="1" ht="15" customHeight="1" x14ac:dyDescent="0.2">
      <c r="A45" s="76" t="s">
        <v>171</v>
      </c>
      <c r="B45" s="431">
        <f>$B$30</f>
        <v>0</v>
      </c>
      <c r="C45" s="428">
        <f t="shared" si="2"/>
        <v>0</v>
      </c>
      <c r="D45" s="428">
        <f t="shared" si="1"/>
        <v>0</v>
      </c>
      <c r="E45" s="428">
        <f t="shared" ref="E45:E48" si="7">IF($E$49-E$42=0,0,ROUND(((C30/(C$34-C$27))*($E$49-E$42)),0))</f>
        <v>0</v>
      </c>
      <c r="F45" s="471" t="str">
        <f t="shared" si="3"/>
        <v/>
      </c>
      <c r="G45" s="428">
        <f>$H$58</f>
        <v>0</v>
      </c>
      <c r="H45" s="428" t="str">
        <f t="shared" ref="H45:H48" si="8">IF(AND(E30=0,E$34&gt;=H$49),"",ROUND((E30*H$49/E$34),0))</f>
        <v/>
      </c>
      <c r="I45" s="428" t="str">
        <f>IF($I$49&gt;0,MIN(F30,(F30/$F$34)*I$49),"")</f>
        <v/>
      </c>
      <c r="J45" s="409" t="str">
        <f t="shared" si="5"/>
        <v/>
      </c>
      <c r="K45" s="429"/>
      <c r="L45" s="529">
        <f t="shared" si="6"/>
        <v>0</v>
      </c>
      <c r="M45"/>
      <c r="N45" s="204"/>
      <c r="O45" s="125"/>
      <c r="P45" s="179">
        <f>IF(I30=0,0,IF(I30&lt;F58,I30,$F$58))</f>
        <v>0</v>
      </c>
      <c r="Q45" s="179">
        <f t="shared" si="4"/>
        <v>0</v>
      </c>
      <c r="R45" s="196">
        <f>IF(G30&gt;DATE(YEAR(G$28),MONTH(G$28)+Q44,DAY(G$28)),G30,DATE(YEAR(G$28),MONTH(G$28)+Q44,DAY(G$28)))</f>
        <v>0</v>
      </c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</row>
    <row r="46" spans="1:43" s="136" customFormat="1" ht="15" customHeight="1" x14ac:dyDescent="0.2">
      <c r="A46" s="76" t="s">
        <v>172</v>
      </c>
      <c r="B46" s="431">
        <f>$B$31</f>
        <v>0</v>
      </c>
      <c r="C46" s="428">
        <f t="shared" si="2"/>
        <v>0</v>
      </c>
      <c r="D46" s="428">
        <f t="shared" si="1"/>
        <v>0</v>
      </c>
      <c r="E46" s="428">
        <f t="shared" si="7"/>
        <v>0</v>
      </c>
      <c r="F46" s="471" t="str">
        <f t="shared" si="3"/>
        <v/>
      </c>
      <c r="G46" s="428">
        <f>$H$60</f>
        <v>0</v>
      </c>
      <c r="H46" s="428" t="str">
        <f t="shared" si="8"/>
        <v/>
      </c>
      <c r="I46" s="428" t="str">
        <f>IF($I$49&gt;0,MIN(F31,(F31/$F$34)*I$49),"")</f>
        <v/>
      </c>
      <c r="J46" s="409" t="str">
        <f t="shared" si="5"/>
        <v/>
      </c>
      <c r="K46" s="429"/>
      <c r="L46" s="529">
        <f t="shared" si="6"/>
        <v>0</v>
      </c>
      <c r="M46"/>
      <c r="N46" s="204"/>
      <c r="O46" s="125"/>
      <c r="P46" s="179">
        <f>IF(I31=0,0,IF(I31&lt;F60,I31,$F$60))</f>
        <v>0</v>
      </c>
      <c r="Q46" s="179">
        <f t="shared" si="4"/>
        <v>0</v>
      </c>
      <c r="R46" s="196">
        <f>IF(G31&gt;DATE(YEAR(G$28),MONTH(G$28)+Q45,DAY(G$28)),G31,DATE(YEAR(G$28),MONTH(G$28)+Q45,DAY(G$28)))</f>
        <v>0</v>
      </c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</row>
    <row r="47" spans="1:43" s="136" customFormat="1" ht="15" customHeight="1" x14ac:dyDescent="0.2">
      <c r="A47" s="76" t="s">
        <v>173</v>
      </c>
      <c r="B47" s="431">
        <f>$B$32</f>
        <v>0</v>
      </c>
      <c r="C47" s="428">
        <f t="shared" si="2"/>
        <v>0</v>
      </c>
      <c r="D47" s="428">
        <f t="shared" si="1"/>
        <v>0</v>
      </c>
      <c r="E47" s="428">
        <f t="shared" si="7"/>
        <v>0</v>
      </c>
      <c r="F47" s="471" t="str">
        <f t="shared" si="3"/>
        <v/>
      </c>
      <c r="G47" s="428">
        <f>$H$62</f>
        <v>0</v>
      </c>
      <c r="H47" s="428" t="str">
        <f t="shared" si="8"/>
        <v/>
      </c>
      <c r="I47" s="428" t="str">
        <f>IF($I$49&gt;0,MIN(F32,(F32/$F$34)*I$49),"")</f>
        <v/>
      </c>
      <c r="J47" s="409" t="str">
        <f t="shared" si="5"/>
        <v/>
      </c>
      <c r="K47" s="429"/>
      <c r="L47" s="529">
        <f t="shared" si="6"/>
        <v>0</v>
      </c>
      <c r="M47"/>
      <c r="N47" s="204"/>
      <c r="O47" s="125"/>
      <c r="P47" s="179">
        <f>IF(I32=0,0,IF(I32&lt;F62,I32,$F$62))</f>
        <v>0</v>
      </c>
      <c r="Q47" s="179">
        <f t="shared" si="4"/>
        <v>0</v>
      </c>
      <c r="R47" s="196">
        <f>IF(G32&gt;DATE(YEAR(G$28),MONTH(G$28)+Q46,DAY(G$28)),G32,DATE(YEAR(G$28),MONTH(G$28)+Q46,DAY(G$28)))</f>
        <v>0</v>
      </c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</row>
    <row r="48" spans="1:43" s="136" customFormat="1" ht="15" customHeight="1" thickBot="1" x14ac:dyDescent="0.25">
      <c r="A48" s="81" t="s">
        <v>174</v>
      </c>
      <c r="B48" s="431">
        <f>$B$33</f>
        <v>0</v>
      </c>
      <c r="C48" s="428">
        <f t="shared" si="2"/>
        <v>0</v>
      </c>
      <c r="D48" s="428">
        <f t="shared" si="1"/>
        <v>0</v>
      </c>
      <c r="E48" s="428">
        <f t="shared" si="7"/>
        <v>0</v>
      </c>
      <c r="F48" s="471" t="str">
        <f t="shared" si="3"/>
        <v/>
      </c>
      <c r="G48" s="428">
        <f>$H$64</f>
        <v>0</v>
      </c>
      <c r="H48" s="428" t="str">
        <f t="shared" si="8"/>
        <v/>
      </c>
      <c r="I48" s="428" t="str">
        <f>IF($I$49&gt;0,MIN(F33,(F33/$F$34)*I$49),"")</f>
        <v/>
      </c>
      <c r="J48" s="409" t="str">
        <f t="shared" si="5"/>
        <v/>
      </c>
      <c r="K48" s="432"/>
      <c r="L48" s="529">
        <f t="shared" si="6"/>
        <v>0</v>
      </c>
      <c r="M48"/>
      <c r="N48" s="204"/>
      <c r="O48" s="125"/>
      <c r="P48" s="179">
        <f>IF(I33=0,0,IF(I33&lt;F64,I33,$F$64))</f>
        <v>0</v>
      </c>
      <c r="Q48" s="179">
        <f t="shared" si="4"/>
        <v>0</v>
      </c>
      <c r="R48" s="196">
        <f>IF(G33&gt;DATE(YEAR(G$28),MONTH(G$28)+Q47,DAY(G$28)),G33,DATE(YEAR(G$28),MONTH(G$28)+Q47,DAY(G$28)))</f>
        <v>0</v>
      </c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</row>
    <row r="49" spans="1:41" s="136" customFormat="1" ht="20.100000000000001" customHeight="1" thickBot="1" x14ac:dyDescent="0.25">
      <c r="A49" s="180"/>
      <c r="B49" s="495" t="s">
        <v>194</v>
      </c>
      <c r="C49" s="433">
        <f>IF(E49-(E7*0.25)&lt;100000,E49,IF((E7*0.25)&lt;E49,ROUND(E7*0.25,0),E49))</f>
        <v>0</v>
      </c>
      <c r="D49" s="433">
        <f>E49-C49</f>
        <v>0</v>
      </c>
      <c r="E49" s="433">
        <f>IF(MAX(N(C94),N(C96),N(C98))&lt;(C34+IF(E10="Oui",N(E11),0)),MIN(E$7*F$9,MAX(N(C94),N(C96),N(C98))-E42-E50,E20)+E42,MIN(MAX(N(I94),N(I96),N(I98)),E20)+E42)</f>
        <v>0</v>
      </c>
      <c r="F49" s="472">
        <f>SUM(F42:F48)</f>
        <v>0</v>
      </c>
      <c r="G49" s="433">
        <f>SUM(G43:G48)</f>
        <v>0</v>
      </c>
      <c r="H49" s="433">
        <f>MIN(E34,SUM(H70:H87))</f>
        <v>0</v>
      </c>
      <c r="I49" s="433">
        <f>IF($G$49=0,0,IF(F$34&lt;MAX(I$70:I$73),F$34,MAX(I$70:I$73)))</f>
        <v>0</v>
      </c>
      <c r="J49" s="410">
        <f>SUM(J43:J48)</f>
        <v>0</v>
      </c>
      <c r="K49" s="434">
        <f>G49+H49+I49</f>
        <v>0</v>
      </c>
      <c r="L49" s="527">
        <f>SUM(L43:L48)</f>
        <v>0</v>
      </c>
      <c r="M49"/>
      <c r="N49" s="192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</row>
    <row r="50" spans="1:41" s="136" customFormat="1" ht="20.100000000000001" customHeight="1" thickBot="1" x14ac:dyDescent="0.25">
      <c r="A50" s="180"/>
      <c r="B50" s="495"/>
      <c r="C50" s="608" t="str">
        <f>IF(OR($E$10&lt;&gt;"Oui",K68&lt;&gt;2),"Mesures incitatives",A73)</f>
        <v>Mesures incitatives</v>
      </c>
      <c r="D50" s="609"/>
      <c r="E50" s="433">
        <f>IF(E10="oui",MIN(MAX(L94:L98),N(E11)),0)</f>
        <v>0</v>
      </c>
      <c r="F50" s="472" t="str">
        <f>IF(AND($E$7&gt;0,E10="oui",E11&gt;0,K68=2),E$50/E$7,"")</f>
        <v/>
      </c>
      <c r="G50" s="468"/>
      <c r="H50" s="496"/>
      <c r="I50" s="547" t="str">
        <f>IF(AND($A$68&lt;7,$A$68&gt;2,G49&gt;0,F34&gt;0,E7&gt;0),"DDA &amp; CMM du distributeur / Exigence seuil:","")</f>
        <v/>
      </c>
      <c r="J50" s="548" t="str">
        <f>IF(AND($A$68&lt;7,$A$68&gt;2,G49&gt;0,F34&gt;0,E7&gt;0),SUM(G49,N(H49))/SUM(N(D70),N(D71),N(D72),N(D73)),"")</f>
        <v/>
      </c>
      <c r="K50" s="468"/>
      <c r="L50" s="470"/>
      <c r="M50" s="469"/>
      <c r="N50" s="192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</row>
    <row r="51" spans="1:41" s="217" customFormat="1" ht="20.100000000000001" customHeight="1" x14ac:dyDescent="0.2">
      <c r="A51" s="620" t="s">
        <v>195</v>
      </c>
      <c r="B51" s="621"/>
      <c r="C51" s="621"/>
      <c r="D51" s="621"/>
      <c r="E51" s="621"/>
      <c r="F51" s="525"/>
      <c r="G51" s="525"/>
      <c r="H51" s="525"/>
      <c r="I51" s="525"/>
      <c r="J51" s="525"/>
      <c r="K51" s="216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</row>
    <row r="52" spans="1:41" s="217" customFormat="1" ht="20.100000000000001" customHeight="1" x14ac:dyDescent="0.2">
      <c r="A52" s="543"/>
      <c r="B52" s="525"/>
      <c r="C52" s="525"/>
      <c r="D52" s="525"/>
      <c r="E52" s="525"/>
      <c r="F52" s="525"/>
      <c r="G52" s="525"/>
      <c r="H52" s="525"/>
      <c r="I52" s="525"/>
      <c r="J52" s="525"/>
      <c r="K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</row>
    <row r="53" spans="1:41" s="136" customFormat="1" ht="24.75" customHeight="1" x14ac:dyDescent="0.2">
      <c r="A53" s="84" t="s">
        <v>196</v>
      </c>
      <c r="B53" s="181"/>
      <c r="C53" s="182"/>
      <c r="D53" s="183"/>
      <c r="E53" s="183"/>
      <c r="F53" s="183"/>
      <c r="G53" s="184"/>
      <c r="H53" s="184"/>
      <c r="I53" s="184"/>
      <c r="J53" s="184"/>
      <c r="K53" s="184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</row>
    <row r="54" spans="1:41" s="416" customFormat="1" ht="18" customHeight="1" x14ac:dyDescent="0.2">
      <c r="A54" s="411" t="s">
        <v>169</v>
      </c>
      <c r="B54" s="363">
        <f>$D$28</f>
        <v>0</v>
      </c>
      <c r="C54" s="412" t="s">
        <v>62</v>
      </c>
      <c r="D54" s="413">
        <f>$I$28</f>
        <v>0</v>
      </c>
      <c r="E54" s="412" t="s">
        <v>63</v>
      </c>
      <c r="F54" s="414">
        <f>IF(A$68&gt;=16,60,72)</f>
        <v>60</v>
      </c>
      <c r="G54" s="412" t="s">
        <v>64</v>
      </c>
      <c r="H54" s="363">
        <f>IF(A$68&gt;=16,IF(I28&lt;60,B54,(B54/D54)*F54),IF(I28&lt;72,B54,(B54/D54)*F54))</f>
        <v>0</v>
      </c>
      <c r="I54" s="613" t="s">
        <v>197</v>
      </c>
      <c r="J54" s="614"/>
      <c r="K54" s="415">
        <f>IF(A68&gt;=16,DATE(YEAR(G28),MONTH(G28)+60,DAY(G28)),DATE(YEAR(G28),MONTH(G28)+72,DAY(G28)))</f>
        <v>1827</v>
      </c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7"/>
    </row>
    <row r="55" spans="1:41" s="136" customFormat="1" ht="32.25" customHeight="1" x14ac:dyDescent="0.2">
      <c r="A55" s="77"/>
      <c r="B55" s="69" t="s">
        <v>198</v>
      </c>
      <c r="C55" s="70"/>
      <c r="D55" s="70" t="s">
        <v>199</v>
      </c>
      <c r="E55" s="72"/>
      <c r="F55" s="70" t="s">
        <v>200</v>
      </c>
      <c r="G55" s="72"/>
      <c r="H55" s="69" t="s">
        <v>201</v>
      </c>
      <c r="I55" s="73"/>
      <c r="J55" s="73"/>
      <c r="K55" s="18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</row>
    <row r="56" spans="1:41" s="416" customFormat="1" ht="18" customHeight="1" x14ac:dyDescent="0.2">
      <c r="A56" s="411" t="s">
        <v>170</v>
      </c>
      <c r="B56" s="363">
        <f>$D$29</f>
        <v>0</v>
      </c>
      <c r="C56" s="412" t="s">
        <v>62</v>
      </c>
      <c r="D56" s="413">
        <f>$I$29</f>
        <v>0</v>
      </c>
      <c r="E56" s="412" t="s">
        <v>63</v>
      </c>
      <c r="F56" s="418">
        <f>IF((YEAR(K$54)-YEAR(R44))*12+MONTH(K$54)-MONTH(R44)&lt;0,0,(YEAR(K$54)-YEAR(R44))*12+MONTH(K$54)-MONTH(R44))</f>
        <v>59</v>
      </c>
      <c r="G56" s="412" t="s">
        <v>64</v>
      </c>
      <c r="H56" s="363">
        <f>IF(D29=0,0,IF(D56&lt;F56,B56,(B56/D56)*F56))</f>
        <v>0</v>
      </c>
      <c r="I56" s="419"/>
      <c r="J56" s="419"/>
      <c r="K56" s="420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</row>
    <row r="57" spans="1:41" s="136" customFormat="1" ht="32.25" customHeight="1" x14ac:dyDescent="0.2">
      <c r="A57" s="78"/>
      <c r="B57" s="69" t="s">
        <v>198</v>
      </c>
      <c r="C57" s="73"/>
      <c r="D57" s="70" t="s">
        <v>199</v>
      </c>
      <c r="E57" s="73"/>
      <c r="F57" s="70" t="s">
        <v>200</v>
      </c>
      <c r="G57" s="72"/>
      <c r="H57" s="69" t="s">
        <v>201</v>
      </c>
      <c r="I57" s="73"/>
      <c r="J57" s="73"/>
      <c r="K57" s="74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</row>
    <row r="58" spans="1:41" s="416" customFormat="1" ht="18" customHeight="1" x14ac:dyDescent="0.2">
      <c r="A58" s="411" t="s">
        <v>171</v>
      </c>
      <c r="B58" s="363">
        <f>$D$30</f>
        <v>0</v>
      </c>
      <c r="C58" s="412" t="s">
        <v>62</v>
      </c>
      <c r="D58" s="413">
        <f>$I$30</f>
        <v>0</v>
      </c>
      <c r="E58" s="412" t="s">
        <v>63</v>
      </c>
      <c r="F58" s="418">
        <f>IF((YEAR(K$54)-YEAR(R45))*12+MONTH(K$54)-MONTH(R45)&lt;0,0,(YEAR(K$54)-YEAR(R45))*12+MONTH(K$54)-MONTH(R45))</f>
        <v>59</v>
      </c>
      <c r="G58" s="412" t="s">
        <v>64</v>
      </c>
      <c r="H58" s="363">
        <f>IF(D30=0,0,IF(D58&lt;F58,B58,(B58/D58)*F58))</f>
        <v>0</v>
      </c>
      <c r="I58" s="419"/>
      <c r="J58" s="419"/>
      <c r="K58" s="420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</row>
    <row r="59" spans="1:41" s="136" customFormat="1" ht="32.25" customHeight="1" x14ac:dyDescent="0.2">
      <c r="A59" s="79"/>
      <c r="B59" s="69" t="s">
        <v>198</v>
      </c>
      <c r="C59" s="73"/>
      <c r="D59" s="70" t="s">
        <v>199</v>
      </c>
      <c r="E59" s="73"/>
      <c r="F59" s="70" t="s">
        <v>200</v>
      </c>
      <c r="G59" s="72"/>
      <c r="H59" s="69" t="s">
        <v>201</v>
      </c>
      <c r="I59" s="73"/>
      <c r="J59" s="73"/>
      <c r="K59" s="74"/>
      <c r="L59" s="125"/>
      <c r="M59" s="125"/>
      <c r="N59" s="125"/>
      <c r="O59" s="125"/>
      <c r="P59" s="186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</row>
    <row r="60" spans="1:41" s="416" customFormat="1" ht="18" customHeight="1" x14ac:dyDescent="0.2">
      <c r="A60" s="411" t="s">
        <v>172</v>
      </c>
      <c r="B60" s="363">
        <f>$D$31</f>
        <v>0</v>
      </c>
      <c r="C60" s="412" t="s">
        <v>62</v>
      </c>
      <c r="D60" s="418">
        <f>$I$31</f>
        <v>0</v>
      </c>
      <c r="E60" s="412" t="s">
        <v>63</v>
      </c>
      <c r="F60" s="418">
        <f>IF((YEAR(K$54)-YEAR(R46))*12+MONTH(K$54)-MONTH(R46)&lt;0,0,(YEAR(K$54)-YEAR(R46))*12+MONTH(K$54)-MONTH(R46))</f>
        <v>59</v>
      </c>
      <c r="G60" s="412" t="s">
        <v>64</v>
      </c>
      <c r="H60" s="363">
        <f>IF(D31=0,0,IF(D60&lt;F60,B60,(B60/D60)*F60))</f>
        <v>0</v>
      </c>
      <c r="I60" s="419"/>
      <c r="J60" s="419"/>
      <c r="K60" s="420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7"/>
      <c r="AL60" s="417"/>
      <c r="AM60" s="417"/>
      <c r="AN60" s="417"/>
      <c r="AO60" s="417"/>
    </row>
    <row r="61" spans="1:41" s="136" customFormat="1" ht="32.25" customHeight="1" x14ac:dyDescent="0.2">
      <c r="A61" s="77"/>
      <c r="B61" s="69" t="s">
        <v>198</v>
      </c>
      <c r="C61" s="73"/>
      <c r="D61" s="70" t="s">
        <v>199</v>
      </c>
      <c r="E61" s="73"/>
      <c r="F61" s="70" t="s">
        <v>200</v>
      </c>
      <c r="G61" s="72"/>
      <c r="H61" s="69" t="s">
        <v>201</v>
      </c>
      <c r="I61" s="73"/>
      <c r="J61" s="73"/>
      <c r="K61" s="74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</row>
    <row r="62" spans="1:41" s="416" customFormat="1" ht="18" customHeight="1" x14ac:dyDescent="0.2">
      <c r="A62" s="411" t="s">
        <v>173</v>
      </c>
      <c r="B62" s="363">
        <f>$D$32</f>
        <v>0</v>
      </c>
      <c r="C62" s="412" t="s">
        <v>62</v>
      </c>
      <c r="D62" s="418">
        <f>$I$32</f>
        <v>0</v>
      </c>
      <c r="E62" s="412" t="s">
        <v>63</v>
      </c>
      <c r="F62" s="418">
        <f>IF((YEAR(K$54)-YEAR(R47))*12+MONTH(K$54)-MONTH(R47)&lt;0,0,(YEAR(K$54)-YEAR(R47))*12+MONTH(K$54)-MONTH(R47))</f>
        <v>59</v>
      </c>
      <c r="G62" s="412" t="s">
        <v>64</v>
      </c>
      <c r="H62" s="363">
        <f>IF(D32=0,0,IF(D62&lt;F62,B62,(B62/D62)*F62))</f>
        <v>0</v>
      </c>
      <c r="I62" s="419"/>
      <c r="J62" s="419"/>
      <c r="K62" s="420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7"/>
      <c r="AL62" s="417"/>
      <c r="AM62" s="417"/>
      <c r="AN62" s="417"/>
      <c r="AO62" s="417"/>
    </row>
    <row r="63" spans="1:41" s="136" customFormat="1" ht="32.25" customHeight="1" x14ac:dyDescent="0.2">
      <c r="A63" s="78"/>
      <c r="B63" s="69" t="s">
        <v>198</v>
      </c>
      <c r="C63" s="73"/>
      <c r="D63" s="70" t="s">
        <v>199</v>
      </c>
      <c r="E63" s="73"/>
      <c r="F63" s="70" t="s">
        <v>200</v>
      </c>
      <c r="G63" s="72"/>
      <c r="H63" s="69" t="s">
        <v>201</v>
      </c>
      <c r="I63" s="73"/>
      <c r="J63" s="73"/>
      <c r="K63" s="74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</row>
    <row r="64" spans="1:41" s="416" customFormat="1" ht="18" customHeight="1" x14ac:dyDescent="0.2">
      <c r="A64" s="411" t="s">
        <v>174</v>
      </c>
      <c r="B64" s="363">
        <f>$D$33</f>
        <v>0</v>
      </c>
      <c r="C64" s="412" t="s">
        <v>62</v>
      </c>
      <c r="D64" s="418">
        <f>$I$33</f>
        <v>0</v>
      </c>
      <c r="E64" s="412" t="s">
        <v>63</v>
      </c>
      <c r="F64" s="418">
        <f>IF((YEAR(K$54)-YEAR(R48))*12+MONTH(K$54)-MONTH(R48)&lt;0,0,(YEAR(K$54)-YEAR(R48))*12+MONTH(K$54)-MONTH(R48))</f>
        <v>59</v>
      </c>
      <c r="G64" s="412" t="s">
        <v>64</v>
      </c>
      <c r="H64" s="363">
        <f>IF(D33=0,0,IF(D64&lt;F64,B64,(B64/D64)*F64))</f>
        <v>0</v>
      </c>
      <c r="I64" s="419"/>
      <c r="J64" s="419"/>
      <c r="K64" s="420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7"/>
      <c r="AI64" s="417"/>
      <c r="AJ64" s="417"/>
      <c r="AK64" s="417"/>
      <c r="AL64" s="417"/>
      <c r="AM64" s="417"/>
      <c r="AN64" s="417"/>
      <c r="AO64" s="417"/>
    </row>
    <row r="65" spans="1:42" s="136" customFormat="1" ht="32.25" customHeight="1" x14ac:dyDescent="0.2">
      <c r="A65" s="59"/>
      <c r="B65" s="80" t="s">
        <v>198</v>
      </c>
      <c r="C65" s="75"/>
      <c r="D65" s="71" t="s">
        <v>199</v>
      </c>
      <c r="E65" s="75"/>
      <c r="F65" s="71" t="s">
        <v>200</v>
      </c>
      <c r="G65" s="68"/>
      <c r="H65" s="80" t="s">
        <v>201</v>
      </c>
      <c r="I65" s="187"/>
      <c r="J65" s="187"/>
      <c r="K65" s="188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</row>
    <row r="66" spans="1:42" s="136" customFormat="1" ht="21.75" customHeight="1" x14ac:dyDescent="0.2">
      <c r="A66" s="189"/>
      <c r="B66" s="190"/>
      <c r="C66" s="133"/>
      <c r="D66" s="133" t="s">
        <v>60</v>
      </c>
      <c r="E66" s="126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</row>
    <row r="67" spans="1:42" s="399" customFormat="1" ht="24.6" customHeight="1" x14ac:dyDescent="0.2">
      <c r="A67" s="450" t="s">
        <v>202</v>
      </c>
      <c r="B67" s="451"/>
      <c r="C67" s="451"/>
      <c r="D67" s="526"/>
      <c r="E67" s="526"/>
      <c r="F67" s="526"/>
      <c r="G67" s="526"/>
      <c r="H67" s="585" t="s">
        <v>203</v>
      </c>
      <c r="I67" s="585"/>
      <c r="J67" s="526"/>
      <c r="K67" s="526"/>
      <c r="L67" s="396"/>
      <c r="M67" s="397"/>
      <c r="N67" s="396"/>
      <c r="O67" s="396"/>
      <c r="P67" s="396"/>
      <c r="Q67" s="396"/>
      <c r="R67" s="396"/>
      <c r="S67" s="398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6"/>
      <c r="AK67" s="396"/>
      <c r="AL67" s="396"/>
      <c r="AM67" s="396"/>
      <c r="AN67" s="396"/>
      <c r="AO67" s="396"/>
    </row>
    <row r="68" spans="1:42" s="399" customFormat="1" ht="45" customHeight="1" x14ac:dyDescent="0.2">
      <c r="A68" s="530">
        <v>21</v>
      </c>
      <c r="B68" s="256" t="s">
        <v>204</v>
      </c>
      <c r="C68" s="373" t="s">
        <v>205</v>
      </c>
      <c r="D68" s="373" t="s">
        <v>206</v>
      </c>
      <c r="E68" s="612" t="s">
        <v>207</v>
      </c>
      <c r="F68" s="612"/>
      <c r="G68" s="374" t="s">
        <v>208</v>
      </c>
      <c r="H68" s="375" t="s">
        <v>209</v>
      </c>
      <c r="I68" s="375" t="s">
        <v>210</v>
      </c>
      <c r="J68" s="531">
        <v>3</v>
      </c>
      <c r="K68" s="522">
        <v>1</v>
      </c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96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6"/>
      <c r="AK68" s="396"/>
      <c r="AL68" s="396"/>
      <c r="AM68" s="396"/>
      <c r="AN68" s="396"/>
      <c r="AO68" s="396"/>
      <c r="AP68" s="396"/>
    </row>
    <row r="69" spans="1:42" s="399" customFormat="1" ht="20.100000000000001" customHeight="1" x14ac:dyDescent="0.2">
      <c r="A69" s="511"/>
      <c r="B69" s="376" t="s">
        <v>211</v>
      </c>
      <c r="C69" s="377"/>
      <c r="D69" s="378"/>
      <c r="E69" s="379"/>
      <c r="F69" s="380"/>
      <c r="G69" s="379"/>
      <c r="H69" s="379"/>
      <c r="I69" s="458"/>
      <c r="J69" s="501"/>
      <c r="K69" s="502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6"/>
      <c r="AL69" s="396"/>
      <c r="AM69" s="396"/>
      <c r="AN69" s="396"/>
      <c r="AO69" s="396"/>
      <c r="AP69" s="396"/>
    </row>
    <row r="70" spans="1:42" s="399" customFormat="1" ht="39.950000000000003" customHeight="1" x14ac:dyDescent="0.2">
      <c r="A70" s="512" t="s">
        <v>142</v>
      </c>
      <c r="B70" s="359" t="s">
        <v>212</v>
      </c>
      <c r="C70" s="381">
        <v>0.3</v>
      </c>
      <c r="D70" s="360" t="str">
        <f>IF(A$68=3,ROUND((C$70*$E$7),0),"S/O")</f>
        <v>S/O</v>
      </c>
      <c r="E70" s="361" t="str">
        <f>IF(D70="S/O","S/O",IF(G$49&gt;=D70,"Oui",
IF(G$49+MIN(E$34,MAX(D70-G$49,0))&gt;=D70,"Oui",
IF(AND(G$49+MIN(E$34,MAX(D70-G$49,0))&gt;=75%*D70,
G$49+MIN(E$34,MAX(D70-G$49,0))+MIN(F$34,D70-G$49-MIN(E$34,MAX(D70-G$49,0)))&gt;=D70),"Oui","Non"))))</f>
        <v>S/O</v>
      </c>
      <c r="F70" s="362"/>
      <c r="G70" s="363" t="str">
        <f>IF(E70="S/O","S/O",G$49+MIN(H$49,E$34)+MIN(I$49,F$34)-D70)</f>
        <v>S/O</v>
      </c>
      <c r="H70" s="364" t="str">
        <f>IF(E70="S/O","S/O",
IF(AND(E$34&gt;0,G$49&gt;0),MAX(D70-G$49,0),0))</f>
        <v>S/O</v>
      </c>
      <c r="I70" s="364" t="str">
        <f>IF(E70="S/O","S/O",
IF(AND($A$68=3,F$34&gt;0,G$49+H$49&gt;=75%*D70),MAX(ROUND(D70-G$49-H$49,0),0),0))</f>
        <v>S/O</v>
      </c>
      <c r="J70" s="501"/>
      <c r="K70" s="503"/>
      <c r="L70" s="467"/>
      <c r="M70" s="467"/>
      <c r="N70" s="467"/>
      <c r="O70" s="467"/>
      <c r="P70" s="467"/>
      <c r="Q70" s="467"/>
      <c r="R70" s="467"/>
      <c r="S70" s="467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396"/>
      <c r="AL70" s="396"/>
      <c r="AM70" s="396"/>
      <c r="AN70" s="396"/>
      <c r="AO70" s="396"/>
      <c r="AP70" s="396"/>
    </row>
    <row r="71" spans="1:42" s="399" customFormat="1" ht="39.950000000000003" customHeight="1" x14ac:dyDescent="0.2">
      <c r="A71" s="512" t="s">
        <v>213</v>
      </c>
      <c r="B71" s="359" t="s">
        <v>214</v>
      </c>
      <c r="C71" s="382">
        <v>0.125</v>
      </c>
      <c r="D71" s="360" t="str">
        <f>IF(A$68=4,ROUND((C$71*$E$7),0),"S/O")</f>
        <v>S/O</v>
      </c>
      <c r="E71" s="361" t="str">
        <f>IF(D71="S/O","S/O",IF(G$49&gt;=D71,"Oui",
IF(G$49+MIN(E$34,MAX(D71-G$49,0))&gt;=D71,"Oui",
IF(AND(G$49+MIN(E$34,MAX(D71-G$49,0))&gt;=75%*D71,
G$49+MIN(E$34,MAX(D71-G$49,0))+MIN(F$34,D71-G$49-MIN(E$34,MAX(D71-G$49,0)))&gt;=D71),"Oui","Non"))))</f>
        <v>S/O</v>
      </c>
      <c r="F71" s="362"/>
      <c r="G71" s="363" t="str">
        <f>IF(E71="S/O","S/O",G$49+MIN(H$49,E$34)+MIN(I$49,F$34)-D71)</f>
        <v>S/O</v>
      </c>
      <c r="H71" s="364" t="str">
        <f>IF(E71="S/O","S/O",
IF(AND(E$34&gt;0,G$49&gt;0),MAX(D71-G$49,0),0))</f>
        <v>S/O</v>
      </c>
      <c r="I71" s="364" t="str">
        <f>IF(E71="S/O","S/O",
IF(AND($A$68=4,F$34&gt;0,G$49+H$49&gt;=75%*D71),MAX(ROUND(D71-G$49-H$49,0),0),0))</f>
        <v>S/O</v>
      </c>
      <c r="J71" s="504"/>
      <c r="K71" s="502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6"/>
      <c r="AK71" s="396"/>
      <c r="AL71" s="396"/>
      <c r="AM71" s="396"/>
      <c r="AN71" s="396"/>
      <c r="AO71" s="396"/>
      <c r="AP71" s="396"/>
    </row>
    <row r="72" spans="1:42" s="399" customFormat="1" ht="39.950000000000003" customHeight="1" x14ac:dyDescent="0.2">
      <c r="A72" s="513"/>
      <c r="B72" s="366" t="s">
        <v>215</v>
      </c>
      <c r="C72" s="383">
        <v>0.1</v>
      </c>
      <c r="D72" s="360" t="str">
        <f>IF(A$68=5,ROUND((C72*$E$7),0),"S/O")</f>
        <v>S/O</v>
      </c>
      <c r="E72" s="361" t="str">
        <f>IF(D72="S/O","S/O",IF(G$49&gt;=D72,"Oui",
IF(G$49+MIN(E$34,MAX(D72-G$49,0))&gt;=D72,"Oui",
IF(AND(G$49+MIN(E$34,MAX(D72-G$49,0))&gt;=75%*D72,
G$49+MIN(E$34,MAX(D72-G$49,0))+MIN(F$34,D72-G$49-MIN(E$34,MAX(D72-G$49,0)))&gt;=D72),"Oui","Non"))))</f>
        <v>S/O</v>
      </c>
      <c r="F72" s="362"/>
      <c r="G72" s="363" t="str">
        <f>IF(E72="S/O","S/O",G$49+MIN(H$49,E$34)+MIN(I$49,F$34)-D72)</f>
        <v>S/O</v>
      </c>
      <c r="H72" s="364" t="str">
        <f>IF(E72="S/O","S/O",
IF(AND(E$34&gt;0,G$49&gt;0),MAX(D72-G$49,0),0))</f>
        <v>S/O</v>
      </c>
      <c r="I72" s="364" t="str">
        <f>IF(E72="S/O","S/O",
IF(AND($A$68=5,F$34&gt;0,G$49+H$49&gt;=75%*D72),MAX(ROUND(D72-G$49-H$49,0),0),0))</f>
        <v>S/O</v>
      </c>
      <c r="J72" s="504"/>
      <c r="K72" s="502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6"/>
      <c r="AK72" s="396"/>
      <c r="AL72" s="396"/>
      <c r="AM72" s="396"/>
      <c r="AN72" s="396"/>
      <c r="AO72" s="396"/>
      <c r="AP72" s="396"/>
    </row>
    <row r="73" spans="1:42" s="399" customFormat="1" ht="60" customHeight="1" x14ac:dyDescent="0.2">
      <c r="A73" s="514" t="s">
        <v>216</v>
      </c>
      <c r="B73" s="359" t="s">
        <v>217</v>
      </c>
      <c r="C73" s="383" t="s">
        <v>218</v>
      </c>
      <c r="D73" s="360" t="str">
        <f>IF(A$68=6,IF($A$70&gt;=120000,120000,ROUND(($E$7*5%),0)),"S/O")</f>
        <v>S/O</v>
      </c>
      <c r="E73" s="361" t="str">
        <f>IF(D73="S/O","S/O",IF(G$49&gt;=D73,"Oui",
IF(G$49+MIN(E$34,MAX(D73-G$49,0))&gt;=D73,"Oui",
IF(AND(G$49+MIN(E$34,MAX(D73-G$49,0))&gt;=75%*D73,
G$49+MIN(E$34,MAX(D73-G$49,0))+MIN(F$34,D73-G$49-MIN(E$34,MAX(D73-G$49,0)))&gt;=D73),"Oui","Non"))))</f>
        <v>S/O</v>
      </c>
      <c r="F73" s="362"/>
      <c r="G73" s="363" t="str">
        <f>IF(E73="S/O","S/O",G$49+MIN(H$49,E$34)+MIN(I$49,F$34)-D73)</f>
        <v>S/O</v>
      </c>
      <c r="H73" s="364" t="str">
        <f>IF(E73="S/O","S/O",
IF(AND(E$34&gt;0,G$49&gt;0),MAX(D73-G$49,0),0))</f>
        <v>S/O</v>
      </c>
      <c r="I73" s="364" t="str">
        <f>IF(E73="S/O","S/O",
IF(AND($A$68=6,F$34&gt;0,G$49+H$49&gt;=75%*D73),MAX(ROUND(D73-G$49-H$49,0),0),0))</f>
        <v>S/O</v>
      </c>
      <c r="J73" s="504"/>
      <c r="K73" s="502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396"/>
      <c r="AN73" s="396"/>
      <c r="AO73" s="396"/>
      <c r="AP73" s="396"/>
    </row>
    <row r="74" spans="1:42" s="399" customFormat="1" ht="36.6" customHeight="1" x14ac:dyDescent="0.2">
      <c r="A74" s="511"/>
      <c r="B74" s="384" t="s">
        <v>219</v>
      </c>
      <c r="C74" s="385"/>
      <c r="D74" s="386"/>
      <c r="E74" s="387"/>
      <c r="F74" s="388"/>
      <c r="G74" s="389"/>
      <c r="H74" s="389"/>
      <c r="I74" s="458"/>
      <c r="J74" s="504"/>
      <c r="K74" s="502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396"/>
      <c r="AN74" s="396"/>
      <c r="AO74" s="396"/>
      <c r="AP74" s="396"/>
    </row>
    <row r="75" spans="1:42" s="399" customFormat="1" ht="39.950000000000003" customHeight="1" x14ac:dyDescent="0.2">
      <c r="A75" s="511"/>
      <c r="B75" s="359" t="s">
        <v>220</v>
      </c>
      <c r="C75" s="365">
        <v>0.35</v>
      </c>
      <c r="D75" s="367" t="str">
        <f>IF($A$68=8,ROUND((C75*$E$7),0),"S/O")</f>
        <v>S/O</v>
      </c>
      <c r="E75" s="361" t="str">
        <f>IF(D75="S/O","S/O",IF(G$49&gt;=D75,"Oui",IF(G$49+MIN(E$34,MAX(D75-G$49,0))&gt;=D75,"Oui","Non")))</f>
        <v>S/O</v>
      </c>
      <c r="F75" s="362"/>
      <c r="G75" s="363" t="str">
        <f>IF(E75="S/O","S/O",G$49+MIN(H$49,E$34)+MIN(I$49,F$34)-D75)</f>
        <v>S/O</v>
      </c>
      <c r="H75" s="364" t="str">
        <f>IF(E75="S/O","S/O",
IF(AND(E$34&gt;0,G$49&gt;0),MAX(D75-G$49,0),0))</f>
        <v>S/O</v>
      </c>
      <c r="I75" s="459"/>
      <c r="J75" s="505"/>
      <c r="K75" s="502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6"/>
      <c r="AC75" s="396"/>
      <c r="AD75" s="396"/>
      <c r="AE75" s="396"/>
      <c r="AF75" s="396"/>
      <c r="AG75" s="396"/>
      <c r="AH75" s="396"/>
      <c r="AI75" s="396"/>
      <c r="AJ75" s="396"/>
      <c r="AK75" s="396"/>
      <c r="AL75" s="396"/>
      <c r="AM75" s="396"/>
      <c r="AN75" s="396"/>
      <c r="AO75" s="396"/>
      <c r="AP75" s="396"/>
    </row>
    <row r="76" spans="1:42" s="399" customFormat="1" ht="39.950000000000003" customHeight="1" x14ac:dyDescent="0.2">
      <c r="A76" s="511"/>
      <c r="B76" s="359" t="s">
        <v>221</v>
      </c>
      <c r="C76" s="365">
        <v>0.2</v>
      </c>
      <c r="D76" s="367" t="str">
        <f>IF($A$68=9,ROUND((C76*$E$7),0),"S/O")</f>
        <v>S/O</v>
      </c>
      <c r="E76" s="361" t="str">
        <f t="shared" ref="E76:E87" si="9">IF(D76="S/O","S/O",IF(G$49&gt;=D76,"Oui",
IF(G$49+MIN(E$34,MAX(D76-G$49,0))&gt;=D76,"Oui","Non")))</f>
        <v>S/O</v>
      </c>
      <c r="F76" s="362"/>
      <c r="G76" s="363" t="str">
        <f>IF(E76="S/O","S/O",G$49+MIN(H$49,E$34)+MIN(I$49,F$34)-D76)</f>
        <v>S/O</v>
      </c>
      <c r="H76" s="364" t="str">
        <f>IF(E76="S/O","S/O",
IF(AND(E$34&gt;0,G$49&gt;0),MAX(D76-G$49,0),0))</f>
        <v>S/O</v>
      </c>
      <c r="I76" s="460"/>
      <c r="J76" s="505"/>
      <c r="K76" s="502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  <c r="AA76" s="396"/>
      <c r="AB76" s="396"/>
      <c r="AC76" s="396"/>
      <c r="AD76" s="396"/>
      <c r="AE76" s="396"/>
      <c r="AF76" s="396"/>
      <c r="AG76" s="396"/>
      <c r="AH76" s="396"/>
      <c r="AI76" s="396"/>
      <c r="AJ76" s="396"/>
      <c r="AK76" s="396"/>
      <c r="AL76" s="396"/>
      <c r="AM76" s="396"/>
      <c r="AN76" s="396"/>
      <c r="AO76" s="396"/>
      <c r="AP76" s="396"/>
    </row>
    <row r="77" spans="1:42" s="399" customFormat="1" ht="60" customHeight="1" x14ac:dyDescent="0.2">
      <c r="A77" s="511"/>
      <c r="B77" s="359" t="s">
        <v>222</v>
      </c>
      <c r="C77" s="365" t="s">
        <v>223</v>
      </c>
      <c r="D77" s="368" t="str">
        <f>IF(A$68=10,IF(60000*$K$7&lt;=$E$7*15%,ROUND((60000*$K$7),0),ROUND(($E$7*15%),0)),"S/O")</f>
        <v>S/O</v>
      </c>
      <c r="E77" s="361" t="str">
        <f t="shared" si="9"/>
        <v>S/O</v>
      </c>
      <c r="F77" s="362"/>
      <c r="G77" s="363" t="str">
        <f>IF(E77="S/O","S/O",G$49+MIN(H$49,E$34)+MIN(I$49,F$34)-D77)</f>
        <v>S/O</v>
      </c>
      <c r="H77" s="364" t="str">
        <f>IF(E77="S/O","S/O",
IF(AND(E$34&gt;0,G$49&gt;0),MAX(D77-G$49,0),0))</f>
        <v>S/O</v>
      </c>
      <c r="I77" s="461"/>
      <c r="J77" s="505"/>
      <c r="K77" s="502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6"/>
      <c r="AO77" s="396"/>
      <c r="AP77" s="396"/>
    </row>
    <row r="78" spans="1:42" s="399" customFormat="1" ht="60" customHeight="1" x14ac:dyDescent="0.2">
      <c r="A78" s="511"/>
      <c r="B78" s="359" t="s">
        <v>224</v>
      </c>
      <c r="C78" s="369" t="s">
        <v>225</v>
      </c>
      <c r="D78" s="367" t="str">
        <f>IF(A$68=11,IF(60000&lt;=$E$7*10%,ROUND((60000),0),ROUND(($E$7*10%),0)),"S/O")</f>
        <v>S/O</v>
      </c>
      <c r="E78" s="361" t="str">
        <f t="shared" si="9"/>
        <v>S/O</v>
      </c>
      <c r="F78" s="362"/>
      <c r="G78" s="363" t="str">
        <f>IF(E78="S/O","S/O",G$49+MIN(H$49,E$34)+MIN(I$49,F$34)-D78)</f>
        <v>S/O</v>
      </c>
      <c r="H78" s="364" t="str">
        <f>IF(E78="S/O","S/O",
IF(AND(E$34&gt;0,G$49&gt;0),MAX(D78-G$49,0),0))</f>
        <v>S/O</v>
      </c>
      <c r="I78" s="461"/>
      <c r="J78" s="505"/>
      <c r="K78" s="502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396"/>
      <c r="AN78" s="396"/>
      <c r="AO78" s="396"/>
      <c r="AP78" s="396"/>
    </row>
    <row r="79" spans="1:42" s="399" customFormat="1" ht="20.100000000000001" customHeight="1" x14ac:dyDescent="0.2">
      <c r="A79" s="511"/>
      <c r="B79" s="390" t="s">
        <v>226</v>
      </c>
      <c r="C79" s="384"/>
      <c r="D79" s="391"/>
      <c r="E79" s="391"/>
      <c r="F79" s="389"/>
      <c r="G79" s="388"/>
      <c r="H79" s="388"/>
      <c r="I79" s="462"/>
      <c r="J79" s="500"/>
      <c r="K79" s="502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6"/>
      <c r="AC79" s="396"/>
      <c r="AD79" s="396"/>
      <c r="AE79" s="396"/>
      <c r="AF79" s="396"/>
      <c r="AG79" s="396"/>
      <c r="AH79" s="396"/>
      <c r="AI79" s="396"/>
      <c r="AJ79" s="396"/>
      <c r="AK79" s="396"/>
      <c r="AL79" s="396"/>
      <c r="AM79" s="396"/>
      <c r="AN79" s="396"/>
      <c r="AO79" s="396"/>
      <c r="AP79" s="396"/>
    </row>
    <row r="80" spans="1:42" s="399" customFormat="1" ht="39.950000000000003" customHeight="1" x14ac:dyDescent="0.2">
      <c r="A80" s="511"/>
      <c r="B80" s="359" t="s">
        <v>227</v>
      </c>
      <c r="C80" s="370">
        <v>0.5</v>
      </c>
      <c r="D80" s="371" t="str">
        <f>IF(A$68=13,ROUND((C80*$E$7),0),"S/O")</f>
        <v>S/O</v>
      </c>
      <c r="E80" s="361" t="str">
        <f t="shared" si="9"/>
        <v>S/O</v>
      </c>
      <c r="F80" s="362"/>
      <c r="G80" s="363" t="str">
        <f>IF(E80="S/O","S/O",G$49+MIN(H$49,E$34)+MIN(I$49,F$34)-D80)</f>
        <v>S/O</v>
      </c>
      <c r="H80" s="364" t="str">
        <f>IF(E80="S/O","S/O",
IF(AND(E$34&gt;0,G$49&gt;0),MAX(D80-G$49,0),0))</f>
        <v>S/O</v>
      </c>
      <c r="I80" s="463"/>
      <c r="J80" s="506"/>
      <c r="K80" s="502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6"/>
      <c r="AC80" s="396"/>
      <c r="AD80" s="396"/>
      <c r="AE80" s="396"/>
      <c r="AF80" s="396"/>
      <c r="AG80" s="396"/>
      <c r="AH80" s="396"/>
      <c r="AI80" s="396"/>
      <c r="AJ80" s="396"/>
      <c r="AK80" s="396"/>
      <c r="AL80" s="396"/>
      <c r="AM80" s="396"/>
      <c r="AN80" s="396"/>
      <c r="AO80" s="396"/>
      <c r="AP80" s="396"/>
    </row>
    <row r="81" spans="1:47" s="400" customFormat="1" ht="39.950000000000003" customHeight="1" x14ac:dyDescent="0.2">
      <c r="A81" s="508"/>
      <c r="B81" s="359" t="s">
        <v>228</v>
      </c>
      <c r="C81" s="365">
        <v>0.25</v>
      </c>
      <c r="D81" s="368" t="str">
        <f>IF(A$68=14,ROUND((C81*$E$7),0),"S/O")</f>
        <v>S/O</v>
      </c>
      <c r="E81" s="361" t="str">
        <f t="shared" si="9"/>
        <v>S/O</v>
      </c>
      <c r="F81" s="362"/>
      <c r="G81" s="363" t="str">
        <f>IF(E81="S/O","S/O",G$49+MIN(H$49,E$34)+MIN(I$49,F$34)-D81)</f>
        <v>S/O</v>
      </c>
      <c r="H81" s="364" t="str">
        <f>IF(E81="S/O","S/O",
IF(AND(E$34&gt;0,G$49&gt;0),MAX(D81-G$49,0),0))</f>
        <v>S/O</v>
      </c>
      <c r="I81" s="464"/>
      <c r="J81" s="507"/>
      <c r="K81" s="508"/>
      <c r="L81" s="396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</row>
    <row r="82" spans="1:47" s="400" customFormat="1" ht="39.950000000000003" customHeight="1" x14ac:dyDescent="0.2">
      <c r="A82" s="508"/>
      <c r="B82" s="359" t="s">
        <v>229</v>
      </c>
      <c r="C82" s="365">
        <v>0.2</v>
      </c>
      <c r="D82" s="368" t="str">
        <f>IF(A$68=15,ROUND((C82*$E$7),0),"S/O")</f>
        <v>S/O</v>
      </c>
      <c r="E82" s="361" t="str">
        <f t="shared" si="9"/>
        <v>S/O</v>
      </c>
      <c r="F82" s="362"/>
      <c r="G82" s="363" t="str">
        <f>IF(E82="S/O","S/O",G$49+MIN(H$49,E$34)+MIN(I$49,F$34)-D82)</f>
        <v>S/O</v>
      </c>
      <c r="H82" s="364" t="str">
        <f>IF(E82="S/O","S/O",
IF(AND(E$34&gt;0,G$49&gt;0),MAX(D82-G$49,0),0))</f>
        <v>S/O</v>
      </c>
      <c r="I82" s="464"/>
      <c r="J82" s="509"/>
      <c r="K82" s="508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  <c r="AN82" s="401"/>
      <c r="AO82" s="401"/>
      <c r="AP82" s="401"/>
    </row>
    <row r="83" spans="1:47" s="399" customFormat="1" ht="20.100000000000001" customHeight="1" x14ac:dyDescent="0.2">
      <c r="A83" s="511"/>
      <c r="B83" s="392" t="s">
        <v>230</v>
      </c>
      <c r="C83" s="393"/>
      <c r="D83" s="394"/>
      <c r="E83" s="394"/>
      <c r="F83" s="395"/>
      <c r="G83" s="388"/>
      <c r="H83" s="388"/>
      <c r="I83" s="461"/>
      <c r="J83" s="505"/>
      <c r="K83" s="502"/>
      <c r="L83" s="401"/>
      <c r="M83" s="396"/>
      <c r="N83" s="396"/>
      <c r="O83" s="396"/>
      <c r="P83" s="396"/>
      <c r="Q83" s="396"/>
      <c r="R83" s="396"/>
      <c r="S83" s="396"/>
      <c r="T83" s="396"/>
      <c r="U83" s="396"/>
      <c r="V83" s="396"/>
      <c r="W83" s="396"/>
      <c r="X83" s="396"/>
      <c r="Y83" s="396"/>
      <c r="Z83" s="396"/>
      <c r="AA83" s="396"/>
      <c r="AB83" s="396"/>
      <c r="AC83" s="396"/>
      <c r="AD83" s="396"/>
      <c r="AE83" s="396"/>
      <c r="AF83" s="396"/>
      <c r="AG83" s="396"/>
      <c r="AH83" s="396"/>
      <c r="AI83" s="396"/>
      <c r="AJ83" s="396"/>
      <c r="AK83" s="396"/>
      <c r="AL83" s="396"/>
      <c r="AM83" s="396"/>
      <c r="AN83" s="396"/>
      <c r="AO83" s="396"/>
      <c r="AP83" s="396"/>
    </row>
    <row r="84" spans="1:47" s="399" customFormat="1" ht="39.950000000000003" customHeight="1" x14ac:dyDescent="0.2">
      <c r="A84" s="511"/>
      <c r="B84" s="359" t="s">
        <v>231</v>
      </c>
      <c r="C84" s="365">
        <v>0.5</v>
      </c>
      <c r="D84" s="367" t="str">
        <f>IF($A$68=17,ROUND((C84*$E$7),0),"S/O")</f>
        <v>S/O</v>
      </c>
      <c r="E84" s="361" t="str">
        <f t="shared" si="9"/>
        <v>S/O</v>
      </c>
      <c r="F84" s="362"/>
      <c r="G84" s="363" t="str">
        <f>IF(E84="S/O","S/O",G$49+MIN(H$49,E$34)+MIN(I$49,F$34)-D84)</f>
        <v>S/O</v>
      </c>
      <c r="H84" s="364" t="str">
        <f>IF(E84="S/O","S/O",
IF(AND(E$34&gt;0,G$49&gt;0),MAX(D84-G$49,0),0))</f>
        <v>S/O</v>
      </c>
      <c r="I84" s="465"/>
      <c r="J84" s="500"/>
      <c r="K84" s="510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6"/>
      <c r="X84" s="396"/>
      <c r="Y84" s="396"/>
      <c r="Z84" s="396"/>
      <c r="AA84" s="396"/>
      <c r="AB84" s="396"/>
      <c r="AC84" s="396"/>
      <c r="AD84" s="396"/>
      <c r="AE84" s="396"/>
      <c r="AF84" s="396"/>
      <c r="AG84" s="396"/>
      <c r="AH84" s="396"/>
      <c r="AI84" s="396"/>
      <c r="AJ84" s="396"/>
      <c r="AK84" s="396"/>
      <c r="AL84" s="396"/>
      <c r="AM84" s="396"/>
      <c r="AN84" s="396"/>
      <c r="AO84" s="396"/>
      <c r="AP84" s="396"/>
    </row>
    <row r="85" spans="1:47" s="399" customFormat="1" ht="39.950000000000003" customHeight="1" x14ac:dyDescent="0.2">
      <c r="A85" s="511"/>
      <c r="B85" s="359" t="s">
        <v>232</v>
      </c>
      <c r="C85" s="365">
        <v>0.23</v>
      </c>
      <c r="D85" s="367" t="str">
        <f>IF($A$68=18,ROUND((C85*$E$7),0),"S/O")</f>
        <v>S/O</v>
      </c>
      <c r="E85" s="361" t="str">
        <f t="shared" si="9"/>
        <v>S/O</v>
      </c>
      <c r="F85" s="362"/>
      <c r="G85" s="363" t="str">
        <f>IF(E85="S/O","S/O",G$49+MIN(H$49,E$34)+MIN(I$49,F$34)-D85)</f>
        <v>S/O</v>
      </c>
      <c r="H85" s="364" t="str">
        <f>IF(E85="S/O","S/O",
IF(AND(E$34&gt;0,G$49&gt;0),MAX(D85-G$49,0),0))</f>
        <v>S/O</v>
      </c>
      <c r="I85" s="465"/>
      <c r="J85" s="500"/>
      <c r="K85" s="510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6"/>
      <c r="X85" s="396"/>
      <c r="Y85" s="396"/>
      <c r="Z85" s="396"/>
      <c r="AA85" s="396"/>
      <c r="AB85" s="396"/>
      <c r="AC85" s="396"/>
      <c r="AD85" s="396"/>
      <c r="AE85" s="396"/>
      <c r="AF85" s="396"/>
      <c r="AG85" s="396"/>
      <c r="AH85" s="396"/>
      <c r="AI85" s="396"/>
      <c r="AJ85" s="396"/>
      <c r="AK85" s="396"/>
      <c r="AL85" s="396"/>
      <c r="AM85" s="396"/>
      <c r="AN85" s="396"/>
      <c r="AO85" s="396"/>
      <c r="AP85" s="396"/>
    </row>
    <row r="86" spans="1:47" s="399" customFormat="1" ht="60" customHeight="1" x14ac:dyDescent="0.2">
      <c r="A86" s="515"/>
      <c r="B86" s="359" t="s">
        <v>233</v>
      </c>
      <c r="C86" s="365" t="s">
        <v>234</v>
      </c>
      <c r="D86" s="368" t="str">
        <f>IF(A$68=19,IF(195000*$K$7&lt;=$E$7*20%,ROUND((195000*$K$7),0),ROUND(($E$7*20%),0)),"S/O")</f>
        <v>S/O</v>
      </c>
      <c r="E86" s="361" t="str">
        <f t="shared" si="9"/>
        <v>S/O</v>
      </c>
      <c r="F86" s="362"/>
      <c r="G86" s="363" t="str">
        <f>IF(E86="S/O","S/O",G$49+MIN(H$49,E$34)+MIN(I$49,F$34)-D86)</f>
        <v>S/O</v>
      </c>
      <c r="H86" s="364" t="str">
        <f>IF(E86="S/O","S/O",
IF(AND(E$34&gt;0,G$49&gt;0),MAX(D86-G$49,0),0))</f>
        <v>S/O</v>
      </c>
      <c r="I86" s="462"/>
      <c r="J86" s="500"/>
      <c r="K86" s="510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6"/>
      <c r="AC86" s="396"/>
      <c r="AD86" s="396"/>
      <c r="AE86" s="396"/>
      <c r="AF86" s="396"/>
      <c r="AG86" s="396"/>
      <c r="AH86" s="396"/>
      <c r="AI86" s="396"/>
      <c r="AJ86" s="396"/>
      <c r="AK86" s="396"/>
      <c r="AL86" s="396"/>
      <c r="AM86" s="396"/>
      <c r="AN86" s="396"/>
      <c r="AO86" s="396"/>
      <c r="AP86" s="396"/>
    </row>
    <row r="87" spans="1:47" s="399" customFormat="1" ht="20.100000000000001" customHeight="1" x14ac:dyDescent="0.2">
      <c r="A87" s="515"/>
      <c r="B87" s="359" t="s">
        <v>235</v>
      </c>
      <c r="C87" s="369">
        <v>150000</v>
      </c>
      <c r="D87" s="368" t="str">
        <f>IF(A$68=20,ROUND((C87),0),"S/O")</f>
        <v>S/O</v>
      </c>
      <c r="E87" s="361" t="str">
        <f t="shared" si="9"/>
        <v>S/O</v>
      </c>
      <c r="F87" s="362"/>
      <c r="G87" s="363" t="str">
        <f>IF(E87="S/O","S/O",G$49+MIN(H$49,E$34)+MIN(I$49,F$34)-D87)</f>
        <v>S/O</v>
      </c>
      <c r="H87" s="364" t="str">
        <f>IF(E87="S/O","S/O",
IF(AND(E$34&gt;0,G$49&gt;0),MAX(D87-G$49,0),0))</f>
        <v>S/O</v>
      </c>
      <c r="I87" s="466"/>
      <c r="J87" s="500"/>
      <c r="K87" s="510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  <c r="AA87" s="396"/>
      <c r="AB87" s="396"/>
      <c r="AC87" s="396"/>
      <c r="AD87" s="396"/>
      <c r="AE87" s="396"/>
      <c r="AF87" s="396"/>
      <c r="AG87" s="396"/>
      <c r="AH87" s="396"/>
      <c r="AI87" s="396"/>
      <c r="AJ87" s="396"/>
      <c r="AK87" s="396"/>
      <c r="AL87" s="396"/>
      <c r="AM87" s="396"/>
      <c r="AN87" s="396"/>
      <c r="AO87" s="396"/>
      <c r="AP87" s="396"/>
    </row>
    <row r="88" spans="1:47" s="337" customFormat="1" ht="20.100000000000001" customHeight="1" x14ac:dyDescent="0.2"/>
    <row r="89" spans="1:47" s="399" customFormat="1" x14ac:dyDescent="0.2">
      <c r="A89" s="396"/>
      <c r="B89" s="402"/>
      <c r="C89" s="403"/>
      <c r="D89" s="404"/>
      <c r="E89" s="405"/>
      <c r="F89" s="404"/>
      <c r="G89" s="406"/>
      <c r="H89" s="407"/>
      <c r="I89" s="396"/>
      <c r="J89" s="396"/>
      <c r="K89" s="396"/>
      <c r="L89" s="408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6"/>
      <c r="X89" s="396"/>
      <c r="Y89" s="396"/>
      <c r="Z89" s="396"/>
      <c r="AA89" s="396"/>
      <c r="AB89" s="396"/>
      <c r="AC89" s="396"/>
      <c r="AD89" s="396"/>
      <c r="AE89" s="396"/>
      <c r="AF89" s="396"/>
      <c r="AG89" s="396"/>
      <c r="AH89" s="396"/>
      <c r="AI89" s="396"/>
      <c r="AJ89" s="396"/>
      <c r="AK89" s="396"/>
      <c r="AL89" s="396"/>
      <c r="AM89" s="396"/>
      <c r="AN89" s="396"/>
      <c r="AO89" s="396"/>
    </row>
    <row r="90" spans="1:47" s="399" customFormat="1" ht="21" customHeight="1" x14ac:dyDescent="0.2">
      <c r="C90" s="403"/>
      <c r="D90" s="404"/>
      <c r="E90" s="405"/>
      <c r="F90" s="404"/>
      <c r="G90" s="406"/>
      <c r="H90" s="407"/>
      <c r="I90" s="396"/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6"/>
      <c r="X90" s="396"/>
      <c r="Y90" s="396"/>
      <c r="Z90" s="396"/>
      <c r="AA90" s="396"/>
      <c r="AB90" s="396"/>
      <c r="AC90" s="396"/>
      <c r="AD90" s="396"/>
      <c r="AE90" s="396"/>
      <c r="AF90" s="396"/>
      <c r="AG90" s="396"/>
      <c r="AH90" s="396"/>
      <c r="AI90" s="396"/>
      <c r="AJ90" s="396"/>
      <c r="AK90" s="396"/>
      <c r="AL90" s="396"/>
      <c r="AM90" s="396"/>
      <c r="AN90" s="396"/>
      <c r="AO90" s="396"/>
    </row>
    <row r="91" spans="1:47" s="136" customFormat="1" ht="27" customHeight="1" x14ac:dyDescent="0.2">
      <c r="A91" s="601" t="s">
        <v>236</v>
      </c>
      <c r="B91" s="601"/>
      <c r="C91" s="602" t="s">
        <v>237</v>
      </c>
      <c r="D91" s="603"/>
      <c r="E91" s="604"/>
      <c r="F91" s="605" t="s">
        <v>168</v>
      </c>
      <c r="G91" s="606"/>
      <c r="H91" s="607"/>
      <c r="I91" s="651" t="s">
        <v>238</v>
      </c>
      <c r="J91" s="651"/>
      <c r="K91" s="651"/>
      <c r="L91" s="630" t="s">
        <v>239</v>
      </c>
      <c r="M91" s="631"/>
      <c r="N91" s="632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</row>
    <row r="92" spans="1:47" s="136" customFormat="1" ht="50.1" customHeight="1" x14ac:dyDescent="0.2">
      <c r="A92" s="652" t="s">
        <v>240</v>
      </c>
      <c r="B92" s="652"/>
      <c r="C92" s="358" t="s">
        <v>241</v>
      </c>
      <c r="D92" s="476" t="s">
        <v>242</v>
      </c>
      <c r="E92" s="476" t="s">
        <v>243</v>
      </c>
      <c r="F92" s="477" t="s">
        <v>244</v>
      </c>
      <c r="G92" s="478" t="s">
        <v>242</v>
      </c>
      <c r="H92" s="478" t="s">
        <v>243</v>
      </c>
      <c r="I92" s="479" t="s">
        <v>245</v>
      </c>
      <c r="J92" s="480" t="s">
        <v>242</v>
      </c>
      <c r="K92" s="480" t="s">
        <v>243</v>
      </c>
      <c r="L92" s="481" t="s">
        <v>246</v>
      </c>
      <c r="M92" s="482" t="s">
        <v>242</v>
      </c>
      <c r="N92" s="482" t="s">
        <v>243</v>
      </c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1:47" s="136" customFormat="1" ht="27" customHeight="1" x14ac:dyDescent="0.2">
      <c r="A93" s="600" t="s">
        <v>247</v>
      </c>
      <c r="B93" s="600"/>
      <c r="C93" s="483"/>
      <c r="D93" s="483"/>
      <c r="E93" s="483"/>
      <c r="F93" s="483"/>
      <c r="G93" s="483"/>
      <c r="H93" s="483"/>
      <c r="I93" s="483"/>
      <c r="J93" s="483"/>
      <c r="K93" s="483"/>
      <c r="L93" s="624" t="str">
        <f>IF(OR($E$10&lt;&gt;"Oui",K68&lt;&gt;2),"",A73)</f>
        <v/>
      </c>
      <c r="M93" s="625"/>
      <c r="N93" s="626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</row>
    <row r="94" spans="1:47" s="136" customFormat="1" ht="56.25" customHeight="1" x14ac:dyDescent="0.2">
      <c r="A94" s="484" t="str">
        <f>A93</f>
        <v>*Tous les genres sauf dramatiques et animation*</v>
      </c>
      <c r="B94" s="485" t="s">
        <v>248</v>
      </c>
      <c r="C94" s="363" t="str">
        <f>IF(AND(A$68&lt;16,A$68&lt;&gt;5,A$68&lt;&gt;6,A$68&gt;1),
                             IF($E$15="Oui",
                                   IF(E$13="Non",MIN(550000,ROUND(E$7*0.49,0)*E$16),MIN(ROUND(E$7*0.84,0),
                                   MIN(550000,ROUND(E7*0.49,0))*E$16+ROUND($E$7*F9,0)+ROUND(MIN(200000,$E$7*30%),0))),
                                   IF(E13="Non",F94,MIN(ROUND(E$7*0.84,0),MIN(550000,ROUND($E$7*0.49,0))+ROUND($E$7*$F$9,0)+ROUND(MIN(200000,$E$7*30%),0)))),"S/O")</f>
        <v>S/O</v>
      </c>
      <c r="D94" s="486" t="str">
        <f>IF(AND(A$68&lt;16,A$68&lt;&gt;5,A$68&lt;&gt;6,A$68&gt;1),IF(OR(G94="Non",J94="Non",M94="Non",C94&lt;E11+E14+E20),"Non","Oui"),"S/O")</f>
        <v>S/O</v>
      </c>
      <c r="E94" s="363" t="str">
        <f>IF(D94="Non",MAX(E11+E14+E20-N(C94),N(H94)+N(K94)+N(N94)),"S/O")</f>
        <v>S/O</v>
      </c>
      <c r="F94" s="363" t="str">
        <f>IF(AND(A$68&lt;16,A$68&lt;&gt;5,A$68&lt;&gt;6,A$68&gt;1),IF(E15="Oui",(MIN(550000,ROUND($E$7*0.49,0))*E$16),(MIN(550000,ROUND($E$7*0.49,0)))),"S/O")</f>
        <v>S/O</v>
      </c>
      <c r="G94" s="486" t="str">
        <f>IF(AND(A$68&lt;16,A$68&lt;&gt;5,A$68&lt;&gt;6,A$68&gt;1),IF($E$13="Oui",IF(F94&gt;=$E$14,"Oui","Non"),IF($F94&gt;=$C$34,"Oui","Non")),"S/O")</f>
        <v>S/O</v>
      </c>
      <c r="H94" s="363" t="str">
        <f>IF($G94="Non",IF($E$13="Non",$C$34-F94,$E$14-F94),"S/O")</f>
        <v>S/O</v>
      </c>
      <c r="I94" s="363" t="str">
        <f>IF(AND(A$68&lt;16,A$68&lt;&gt;5,A$68&lt;&gt;6,A$68&gt;1),IF(MAX(84%*E$7-E$42,0)&lt;E$7*F$9,ROUND(MAX(84%*E$7-E$42,0),0),ROUND(E$7*F$9,0)),"S/O")</f>
        <v>S/O</v>
      </c>
      <c r="J94" s="486" t="str">
        <f>IF(AND(A$68&lt;16,A$68&lt;&gt;5,A$68&lt;&gt;6,A$68&gt;1),IF(I94&gt;=$E$20,"Oui","Non"),"S/O")</f>
        <v>S/O</v>
      </c>
      <c r="K94" s="363" t="str">
        <f>IF($J94="Non",IF($E$13="Non",$C$34-I94,$E$20-I94),"S/O")</f>
        <v>S/O</v>
      </c>
      <c r="L94" s="363" t="str">
        <f>IF(AND(A$68&lt;16,A$68&lt;&gt;5,A$68&lt;&gt;6,A$68&gt;1),IF(AND($E$10="Oui",K68=2),MIN(ROUND(30%*$E$7,0),200000),"S/O"),"S/O")</f>
        <v>S/O</v>
      </c>
      <c r="M94" s="487" t="str">
        <f>IF(L94="S/O","S/O",IF($E$11&gt;L94,"Non","Oui"))</f>
        <v>S/O</v>
      </c>
      <c r="N94" s="488" t="str">
        <f>IF(M94="Non",$E$11-L94,"S/O")</f>
        <v>S/O</v>
      </c>
      <c r="O94" s="125"/>
      <c r="P94" s="125"/>
      <c r="Q94" s="125"/>
      <c r="R94" s="125"/>
      <c r="S94" s="125"/>
      <c r="T94" s="125"/>
      <c r="U94" s="125"/>
      <c r="V94" s="206"/>
      <c r="W94" s="125"/>
      <c r="X94" s="125"/>
      <c r="Y94" s="207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</row>
    <row r="95" spans="1:47" s="136" customFormat="1" ht="27" customHeight="1" x14ac:dyDescent="0.2">
      <c r="A95" s="372" t="str">
        <f>B83</f>
        <v>* Dramatiques *</v>
      </c>
      <c r="B95" s="489"/>
      <c r="C95" s="490"/>
      <c r="D95" s="490"/>
      <c r="E95" s="490"/>
      <c r="F95" s="490"/>
      <c r="G95" s="490"/>
      <c r="H95" s="490"/>
      <c r="I95" s="490"/>
      <c r="J95" s="490"/>
      <c r="K95" s="490"/>
      <c r="L95" s="399"/>
      <c r="M95" s="399"/>
      <c r="N95" s="399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</row>
    <row r="96" spans="1:47" s="136" customFormat="1" ht="56.25" customHeight="1" x14ac:dyDescent="0.2">
      <c r="A96" s="288" t="str">
        <f>A95</f>
        <v>* Dramatiques *</v>
      </c>
      <c r="B96" s="544" t="s">
        <v>254</v>
      </c>
      <c r="C96" s="363" t="str">
        <f>IF(AND($A$68&gt;=16,$A$68&lt;=20),
     IF($E$15="Oui",
                                   IF(E$13="Non",MIN(1200000,ROUND(E$7*0.49,0)*E$16),MIN(ROUND(E$7*0.84,0),
                                   MIN(1200000,ROUND(E7*0.49,0))*E$16+ROUND($E$7*F9,0)+ROUND(MIN(200000,$E$7*30%),0))),
                                   IF(E$13="Non",F96,MIN(ROUND(E$7*0.84,0),MIN(1200000,ROUND($E$7*0.49,0))+ROUND($E$7*$F$9,0)+ROUND(MIN(200000,$E$7*30%),0)))),"S/O")</f>
        <v>S/O</v>
      </c>
      <c r="D96" s="486" t="str">
        <f>IF(AND($A$68&gt;=16,$A$68&lt;=20),IF(OR(G96="Non",J96="Non",M96="Non",C96&lt;E11+E14+E20),"Non","Oui"),"S/O")</f>
        <v>S/O</v>
      </c>
      <c r="E96" s="363" t="str">
        <f>IF(D96="Non",MAX(E11+E14+E20-N(C96),N(H96)+N(K96)+N(N96)),"S/O")</f>
        <v>S/O</v>
      </c>
      <c r="F96" s="363" t="str">
        <f>IF(AND($A$68&gt;=16,$A$68&lt;=20),IF(E$15="Oui",MIN(1200000,ROUND($E$7*0.49,0))*E$16,(MIN(1200000,ROUND($E$7*0.49,0)))),"S/O")</f>
        <v>S/O</v>
      </c>
      <c r="G96" s="486" t="str">
        <f>IF(AND($A$68&gt;=16,$A$68&lt;=20),IF($E$13="Oui",IF(F96&gt;=$E$14,"Oui","Non"),IF($F96&gt;=$C$34,"Oui","Non")),"S/O")</f>
        <v>S/O</v>
      </c>
      <c r="H96" s="363" t="str">
        <f>IF($G96="Non",IF($E$13="Non",$C$34-F96,$E$14-F96),"S/O")</f>
        <v>S/O</v>
      </c>
      <c r="I96" s="363" t="str">
        <f>IF(AND($A$68&gt;=16,$A$68&lt;=20),IF(MAX(84%*E$7-E$42,0)&lt;E$7*F$9,ROUND(MAX(84%*E$7-E$42,0),0),ROUND(E$7*F$9,0)),"S/O")</f>
        <v>S/O</v>
      </c>
      <c r="J96" s="486" t="str">
        <f>IF(AND($A$68&gt;=16,$A$68&lt;=20),IF($E$13="Oui",IF(I96&gt;=$E$20,"Oui","Non"),"S/O"),"S/O")</f>
        <v>S/O</v>
      </c>
      <c r="K96" s="363" t="str">
        <f>IF($J96="Non",IF($E$13="Non",$C$34-I96,$E$20-I96),"S/O")</f>
        <v>S/O</v>
      </c>
      <c r="L96" s="363" t="str">
        <f>IF(AND($A$68&gt;=16,$A$68&lt;=20),IF(AND($E$10="Oui",K$68=2),MIN(ROUND(30%*$E$7,0),200000),"S/O"),"S/O")</f>
        <v>S/O</v>
      </c>
      <c r="M96" s="487" t="str">
        <f>IF(L96="S/O","S/O",IF($E$11&gt;L96,"Non","Oui"))</f>
        <v>S/O</v>
      </c>
      <c r="N96" s="488" t="str">
        <f t="shared" ref="N96:N98" si="10">IF(M96="Non",$E$11-L96,"S/O")</f>
        <v>S/O</v>
      </c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</row>
    <row r="97" spans="1:47" s="136" customFormat="1" ht="27" customHeight="1" x14ac:dyDescent="0.2">
      <c r="A97" s="372" t="s">
        <v>249</v>
      </c>
      <c r="B97" s="489"/>
      <c r="C97" s="490"/>
      <c r="D97" s="490"/>
      <c r="E97" s="490"/>
      <c r="F97" s="490"/>
      <c r="G97" s="490"/>
      <c r="H97" s="490"/>
      <c r="I97" s="490"/>
      <c r="J97" s="490"/>
      <c r="K97" s="490"/>
      <c r="L97" s="399"/>
      <c r="M97" s="399"/>
      <c r="N97" s="399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</row>
    <row r="98" spans="1:47" s="136" customFormat="1" ht="56.25" customHeight="1" x14ac:dyDescent="0.2">
      <c r="A98" s="288" t="s">
        <v>250</v>
      </c>
      <c r="B98" s="485" t="s">
        <v>251</v>
      </c>
      <c r="C98" s="491" t="str">
        <f>IF(OR(A68=6,A68=5),        IF($E$15="Oui",
                                   IF(E$13="Non",MIN(750000,ROUND(E$7*0.49,0)*E$16),MIN(ROUND(E$7*0.84,0),
                                   MIN(750000,ROUND(E7*0.49,0))*E$16+ROUND($E$7*F9,0)+ROUND(MIN(200000,$E$7*30%),0))),IF(E13="Non",F98,MIN(ROUND(E$7*0.84,0),MIN(750000,ROUND($E$7*0.49,0))+ROUND($E$7*$F$9,0)+ROUND(MIN(200000,$E$7*30%),0)))),"S/O")</f>
        <v>S/O</v>
      </c>
      <c r="D98" s="486" t="str">
        <f>IF(OR(A68=6,A68=5),IF(OR(G98="Non",J98="Non",M98="Non",C98&lt;E11+E14+E20),"Non","Oui"),"S/O")</f>
        <v>S/O</v>
      </c>
      <c r="E98" s="491" t="str">
        <f>IF(D98="Non",MAX(E11+E14+E20-N(C98),N(H98)+N(K98)+N(N98)),"S/O")</f>
        <v>S/O</v>
      </c>
      <c r="F98" s="491" t="str">
        <f>IF(OR(A68=6,A68=5),IF($E$15="Oui",(MIN(750000,ROUND($E$7*0.49,0))*E$16),(MIN(750000,ROUND($E$7*0.49,0)))),"S/O")</f>
        <v>S/O</v>
      </c>
      <c r="G98" s="486" t="str">
        <f>IF(OR(A68=6,A68=5),IF($E$13="Oui",IF(F98&gt;=$E$14,"Oui","Non"),IF($F98&gt;=$C$34,"Oui","Non")),"S/O")</f>
        <v>S/O</v>
      </c>
      <c r="H98" s="491" t="str">
        <f>IF($G98="Non",IF($E$13="Non",$C$34-F98,$E$14-F98),"S/O")</f>
        <v>S/O</v>
      </c>
      <c r="I98" s="491" t="str">
        <f>IF(OR(A68=6,A68=5),IF(MAX(84%*E$7-E$42,0)&lt;E$7*F$9,ROUND(MAX(84%*E$7-E$42,0),0),ROUND(E$7*F$9,0)),"S/O")</f>
        <v>S/O</v>
      </c>
      <c r="J98" s="486" t="str">
        <f>IF(OR(A68=6,A68=5),IF($E$13="Oui",IF(I98&gt;=$E$20,"Oui","Non"),"S/O"),"S/O")</f>
        <v>S/O</v>
      </c>
      <c r="K98" s="491" t="str">
        <f>IF($J98="Non",IF($E$13="Non",$C$34-I98,$E$20-I98),"S/O")</f>
        <v>S/O</v>
      </c>
      <c r="L98" s="363" t="str">
        <f>IF(OR(A68=6,A68=5),IF(AND($E$10="Oui",K$68=2),MIN(ROUND(30%*$E$7,0),200000),"S/O"),"S/O")</f>
        <v>S/O</v>
      </c>
      <c r="M98" s="487" t="str">
        <f t="shared" ref="M98" si="11">IF(L98="S/O","S/O",IF($E$11&gt;L98,"Non","Oui"))</f>
        <v>S/O</v>
      </c>
      <c r="N98" s="488" t="str">
        <f t="shared" si="10"/>
        <v>S/O</v>
      </c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</row>
    <row r="99" spans="1:47" s="136" customFormat="1" x14ac:dyDescent="0.2">
      <c r="A99" s="125"/>
      <c r="B99" s="158"/>
      <c r="C99" s="125"/>
      <c r="D99" s="192"/>
      <c r="E99" s="125"/>
      <c r="F99" s="125"/>
      <c r="G99" s="125"/>
      <c r="H99" s="125"/>
      <c r="I99" s="125"/>
      <c r="J99" s="125"/>
      <c r="K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</row>
    <row r="100" spans="1:47" s="136" customFormat="1" x14ac:dyDescent="0.2">
      <c r="A100" s="125"/>
      <c r="B100" s="158"/>
      <c r="G100" s="125"/>
      <c r="H100" s="125"/>
      <c r="I100" s="125"/>
      <c r="J100" s="125"/>
      <c r="K100" s="125"/>
      <c r="L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</row>
    <row r="101" spans="1:47" s="136" customFormat="1" ht="27" customHeight="1" x14ac:dyDescent="0.2">
      <c r="A101" s="474" t="s">
        <v>252</v>
      </c>
      <c r="B101" s="475" t="str">
        <f>A73</f>
        <v>Mesure incitative pour les projets nordiques</v>
      </c>
      <c r="C101" s="627" t="s">
        <v>253</v>
      </c>
      <c r="D101" s="628"/>
      <c r="E101" s="628"/>
      <c r="F101" s="629"/>
      <c r="G101" s="125"/>
      <c r="H101" s="125"/>
      <c r="I101" s="125"/>
      <c r="J101" s="125"/>
      <c r="K101" s="125"/>
      <c r="L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</row>
    <row r="102" spans="1:47" s="136" customFormat="1" x14ac:dyDescent="0.2">
      <c r="A102" s="125"/>
      <c r="B102" s="158"/>
      <c r="G102" s="125"/>
      <c r="H102" s="125"/>
      <c r="I102" s="125"/>
      <c r="J102" s="125"/>
      <c r="K102" s="125"/>
      <c r="L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</row>
    <row r="103" spans="1:47" s="136" customFormat="1" x14ac:dyDescent="0.2">
      <c r="A103" s="125"/>
      <c r="B103" s="158"/>
      <c r="G103" s="125"/>
      <c r="H103" s="125"/>
      <c r="I103" s="125"/>
      <c r="J103" s="125"/>
      <c r="K103" s="125"/>
      <c r="L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</row>
    <row r="104" spans="1:47" s="136" customFormat="1" x14ac:dyDescent="0.2">
      <c r="A104" s="125"/>
      <c r="B104" s="158"/>
      <c r="G104" s="125"/>
      <c r="H104" s="125"/>
      <c r="I104" s="125"/>
      <c r="J104" s="125"/>
      <c r="K104" s="125"/>
      <c r="L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</row>
    <row r="105" spans="1:47" s="136" customFormat="1" x14ac:dyDescent="0.2">
      <c r="A105" s="125"/>
      <c r="B105" s="158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</row>
    <row r="106" spans="1:47" s="492" customFormat="1" x14ac:dyDescent="0.2">
      <c r="A106" s="138"/>
      <c r="B106" s="141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</row>
    <row r="107" spans="1:47" s="492" customFormat="1" x14ac:dyDescent="0.2">
      <c r="A107" s="138"/>
      <c r="B107" s="141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</row>
    <row r="108" spans="1:47" s="492" customFormat="1" x14ac:dyDescent="0.2">
      <c r="A108" s="138"/>
      <c r="B108" s="141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</row>
    <row r="109" spans="1:47" s="492" customFormat="1" x14ac:dyDescent="0.2">
      <c r="A109" s="138"/>
      <c r="B109" s="141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</row>
    <row r="110" spans="1:47" s="492" customFormat="1" x14ac:dyDescent="0.2">
      <c r="A110" s="138"/>
      <c r="B110" s="141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</row>
    <row r="111" spans="1:47" s="492" customFormat="1" x14ac:dyDescent="0.2">
      <c r="A111" s="138"/>
      <c r="B111" s="141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</row>
    <row r="112" spans="1:47" s="492" customFormat="1" x14ac:dyDescent="0.2">
      <c r="A112" s="138"/>
      <c r="B112" s="141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</row>
    <row r="113" spans="1:41" s="492" customFormat="1" x14ac:dyDescent="0.2">
      <c r="A113" s="138"/>
      <c r="B113" s="141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</row>
    <row r="114" spans="1:41" s="492" customFormat="1" x14ac:dyDescent="0.2">
      <c r="A114" s="138"/>
      <c r="B114" s="141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</row>
    <row r="115" spans="1:41" s="492" customFormat="1" x14ac:dyDescent="0.2">
      <c r="A115" s="138"/>
      <c r="B115" s="141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</row>
    <row r="116" spans="1:41" s="492" customFormat="1" x14ac:dyDescent="0.2">
      <c r="A116" s="138"/>
      <c r="B116" s="141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</row>
    <row r="117" spans="1:41" s="492" customFormat="1" x14ac:dyDescent="0.2">
      <c r="A117" s="138"/>
      <c r="B117" s="141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</row>
    <row r="118" spans="1:41" s="492" customFormat="1" x14ac:dyDescent="0.2">
      <c r="A118" s="138"/>
      <c r="B118" s="141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</row>
    <row r="119" spans="1:41" s="492" customFormat="1" x14ac:dyDescent="0.2">
      <c r="A119" s="138"/>
      <c r="B119" s="141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</row>
    <row r="120" spans="1:41" s="492" customFormat="1" x14ac:dyDescent="0.2">
      <c r="A120" s="138"/>
      <c r="B120" s="141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</row>
    <row r="121" spans="1:41" s="492" customFormat="1" x14ac:dyDescent="0.2">
      <c r="A121" s="138"/>
      <c r="B121" s="141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</row>
    <row r="122" spans="1:41" s="492" customFormat="1" x14ac:dyDescent="0.2">
      <c r="A122" s="138"/>
      <c r="B122" s="141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</row>
    <row r="123" spans="1:41" s="492" customFormat="1" x14ac:dyDescent="0.2">
      <c r="A123" s="138"/>
      <c r="B123" s="141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</row>
    <row r="124" spans="1:41" s="492" customFormat="1" x14ac:dyDescent="0.2">
      <c r="A124" s="138"/>
      <c r="B124" s="141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</row>
    <row r="125" spans="1:41" s="492" customFormat="1" x14ac:dyDescent="0.2">
      <c r="A125" s="138"/>
      <c r="B125" s="141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</row>
    <row r="126" spans="1:41" s="492" customFormat="1" x14ac:dyDescent="0.2">
      <c r="A126" s="138"/>
      <c r="B126" s="141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</row>
    <row r="127" spans="1:41" s="492" customFormat="1" x14ac:dyDescent="0.2">
      <c r="A127" s="138"/>
      <c r="B127" s="141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</row>
    <row r="128" spans="1:41" s="492" customFormat="1" x14ac:dyDescent="0.2">
      <c r="A128" s="138"/>
      <c r="B128" s="141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</row>
    <row r="129" spans="1:41" s="492" customFormat="1" x14ac:dyDescent="0.2">
      <c r="A129" s="138"/>
      <c r="B129" s="141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</row>
    <row r="130" spans="1:41" s="492" customFormat="1" x14ac:dyDescent="0.2">
      <c r="A130" s="138"/>
      <c r="B130" s="141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</row>
    <row r="131" spans="1:41" s="492" customFormat="1" x14ac:dyDescent="0.2">
      <c r="A131" s="138"/>
      <c r="B131" s="141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</row>
    <row r="132" spans="1:41" s="492" customFormat="1" x14ac:dyDescent="0.2">
      <c r="A132" s="138"/>
      <c r="B132" s="141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</row>
    <row r="133" spans="1:41" s="492" customFormat="1" x14ac:dyDescent="0.2">
      <c r="A133" s="138"/>
      <c r="B133" s="141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</row>
    <row r="134" spans="1:41" s="492" customFormat="1" x14ac:dyDescent="0.2">
      <c r="A134" s="138"/>
      <c r="B134" s="141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</row>
    <row r="135" spans="1:41" s="492" customFormat="1" x14ac:dyDescent="0.2">
      <c r="A135" s="138"/>
      <c r="B135" s="141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</row>
    <row r="136" spans="1:41" x14ac:dyDescent="0.25">
      <c r="A136" s="138"/>
      <c r="B136" s="141"/>
      <c r="C136" s="138"/>
      <c r="D136" s="138"/>
      <c r="E136" s="138"/>
      <c r="F136" s="138"/>
      <c r="G136" s="138"/>
      <c r="H136" s="138"/>
      <c r="I136" s="138"/>
      <c r="L136" s="138"/>
      <c r="M136" s="138"/>
      <c r="N136" s="138"/>
      <c r="O136" s="138"/>
      <c r="P136" s="138"/>
    </row>
    <row r="137" spans="1:41" x14ac:dyDescent="0.25">
      <c r="C137" s="138"/>
      <c r="D137" s="138"/>
      <c r="E137" s="138"/>
      <c r="F137" s="138"/>
      <c r="G137" s="138"/>
      <c r="H137" s="138"/>
      <c r="I137" s="138"/>
      <c r="M137" s="138"/>
      <c r="N137" s="138"/>
      <c r="O137" s="138"/>
      <c r="P137" s="138"/>
    </row>
    <row r="138" spans="1:41" x14ac:dyDescent="0.25">
      <c r="C138" s="138"/>
      <c r="D138" s="138"/>
      <c r="E138" s="138"/>
      <c r="F138" s="138"/>
      <c r="G138" s="138"/>
      <c r="H138" s="138"/>
      <c r="I138" s="138"/>
      <c r="M138" s="138"/>
      <c r="N138" s="138"/>
      <c r="O138" s="138"/>
      <c r="P138" s="138"/>
    </row>
    <row r="139" spans="1:41" x14ac:dyDescent="0.25">
      <c r="C139" s="138"/>
      <c r="D139" s="138"/>
      <c r="E139" s="138"/>
      <c r="F139" s="138"/>
      <c r="G139" s="138"/>
      <c r="H139" s="138"/>
      <c r="I139" s="138"/>
      <c r="M139" s="138"/>
      <c r="N139" s="138"/>
      <c r="O139" s="138"/>
      <c r="P139" s="138"/>
    </row>
    <row r="140" spans="1:41" x14ac:dyDescent="0.25">
      <c r="C140" s="138"/>
      <c r="D140" s="138"/>
      <c r="E140" s="138"/>
      <c r="F140" s="138"/>
      <c r="G140" s="138"/>
      <c r="H140" s="138"/>
      <c r="I140" s="138"/>
      <c r="M140" s="138"/>
      <c r="N140" s="138"/>
      <c r="O140" s="138"/>
      <c r="P140" s="138"/>
    </row>
    <row r="141" spans="1:41" x14ac:dyDescent="0.25">
      <c r="C141" s="138"/>
      <c r="D141" s="138"/>
      <c r="E141" s="138"/>
      <c r="F141" s="138"/>
      <c r="G141" s="138"/>
      <c r="H141" s="138"/>
      <c r="I141" s="138"/>
      <c r="M141" s="138"/>
      <c r="N141" s="138"/>
      <c r="O141" s="138"/>
      <c r="P141" s="138"/>
    </row>
    <row r="142" spans="1:41" x14ac:dyDescent="0.25">
      <c r="C142" s="138"/>
      <c r="D142" s="138"/>
      <c r="E142" s="138"/>
      <c r="F142" s="138"/>
      <c r="G142" s="138"/>
      <c r="H142" s="138"/>
      <c r="I142" s="138"/>
      <c r="M142" s="138"/>
      <c r="N142" s="138"/>
      <c r="O142" s="138"/>
      <c r="P142" s="138"/>
    </row>
    <row r="143" spans="1:41" x14ac:dyDescent="0.25">
      <c r="C143" s="138"/>
      <c r="D143" s="138"/>
      <c r="E143" s="138"/>
      <c r="F143" s="138"/>
      <c r="G143" s="138"/>
      <c r="H143" s="138"/>
    </row>
    <row r="144" spans="1:41" x14ac:dyDescent="0.25">
      <c r="C144" s="138"/>
      <c r="D144" s="138"/>
      <c r="E144" s="138"/>
      <c r="F144" s="138"/>
      <c r="G144" s="138"/>
      <c r="H144" s="138"/>
    </row>
  </sheetData>
  <sheetProtection algorithmName="SHA-512" hashValue="BafaiFakj5tWuVdsFv3WJF1SIEILWkT0dWtS2s3junvMCVAXJAeamBv4U5vYIwqCgSOBVx4XADwBzJgVipuwaA==" saltValue="BevCZAEd2PO8wtkOOpF5Qw==" spinCount="100000" sheet="1" objects="1" scenarios="1"/>
  <mergeCells count="36">
    <mergeCell ref="L93:N93"/>
    <mergeCell ref="C101:F101"/>
    <mergeCell ref="L91:N91"/>
    <mergeCell ref="A5:B5"/>
    <mergeCell ref="C10:D10"/>
    <mergeCell ref="I12:J12"/>
    <mergeCell ref="B36:K37"/>
    <mergeCell ref="A36:A37"/>
    <mergeCell ref="B13:D13"/>
    <mergeCell ref="C14:D14"/>
    <mergeCell ref="B16:D16"/>
    <mergeCell ref="C15:D15"/>
    <mergeCell ref="C17:D17"/>
    <mergeCell ref="I91:K91"/>
    <mergeCell ref="A92:B92"/>
    <mergeCell ref="A41:B41"/>
    <mergeCell ref="A93:B93"/>
    <mergeCell ref="A91:B91"/>
    <mergeCell ref="C91:E91"/>
    <mergeCell ref="F91:H91"/>
    <mergeCell ref="C9:D9"/>
    <mergeCell ref="C50:D50"/>
    <mergeCell ref="H67:I67"/>
    <mergeCell ref="A26:B26"/>
    <mergeCell ref="I11:J11"/>
    <mergeCell ref="E68:F68"/>
    <mergeCell ref="I54:J54"/>
    <mergeCell ref="B20:D20"/>
    <mergeCell ref="H40:I40"/>
    <mergeCell ref="A51:E51"/>
    <mergeCell ref="C18:D18"/>
    <mergeCell ref="C1:K1"/>
    <mergeCell ref="B2:D2"/>
    <mergeCell ref="F2:G2"/>
    <mergeCell ref="J2:K2"/>
    <mergeCell ref="C7:D7"/>
  </mergeCells>
  <conditionalFormatting sqref="D94 G94 J94 D96 G96 J96 D98 G98 J98">
    <cfRule type="containsText" dxfId="10" priority="16" operator="containsText" text="Non">
      <formula>NOT(ISERROR(SEARCH("Non",D94)))</formula>
    </cfRule>
  </conditionalFormatting>
  <conditionalFormatting sqref="D67:H67 J67:K67">
    <cfRule type="containsText" dxfId="9" priority="12" operator="containsText" text="(4) The indicated Market Contribution exceeds the Maximal Market Contribution.">
      <formula>NOT(ISERROR(SEARCH("(4) The indicated Market Contribution exceeds the Maximal Market Contribution.",D67)))</formula>
    </cfRule>
  </conditionalFormatting>
  <conditionalFormatting sqref="E70:F73">
    <cfRule type="containsText" dxfId="8" priority="8" operator="containsText" text="Non">
      <formula>NOT(ISERROR(SEARCH("Non",E70)))</formula>
    </cfRule>
  </conditionalFormatting>
  <conditionalFormatting sqref="E75:F78 F79 E80:F82">
    <cfRule type="containsText" dxfId="7" priority="7" operator="containsText" text="Non">
      <formula>NOT(ISERROR(SEARCH("Non",E75)))</formula>
    </cfRule>
  </conditionalFormatting>
  <conditionalFormatting sqref="E84:F87">
    <cfRule type="containsText" dxfId="6" priority="6" operator="containsText" text="Non">
      <formula>NOT(ISERROR(SEARCH("Non",E84)))</formula>
    </cfRule>
  </conditionalFormatting>
  <conditionalFormatting sqref="H20">
    <cfRule type="containsText" dxfId="5" priority="43" operator="containsText" text="Non">
      <formula>NOT(ISERROR(SEARCH("Non",H20)))</formula>
    </cfRule>
  </conditionalFormatting>
  <conditionalFormatting sqref="H50">
    <cfRule type="expression" dxfId="4" priority="10">
      <formula>#REF!&lt;&gt;""</formula>
    </cfRule>
  </conditionalFormatting>
  <conditionalFormatting sqref="I50:J50">
    <cfRule type="expression" dxfId="3" priority="4">
      <formula>$J$50&lt;&gt;""</formula>
    </cfRule>
  </conditionalFormatting>
  <dataValidations count="10">
    <dataValidation type="list" allowBlank="1" showInputMessage="1" showErrorMessage="1" sqref="M16 L15" xr:uid="{D3A209EA-82B9-4523-AC09-FAC56C177948}">
      <formula1>$A$80:$A$88</formula1>
    </dataValidation>
    <dataValidation type="whole" allowBlank="1" showInputMessage="1" showErrorMessage="1" errorTitle="Not a number" error="Enter the Envelope Contribution for this licence" sqref="E49" xr:uid="{257C4810-EAAE-4A0F-9439-CA665FC43B1C}">
      <formula1>0</formula1>
      <formula2>999999999999999</formula2>
    </dataValidation>
    <dataValidation type="whole" allowBlank="1" showInputMessage="1" showErrorMessage="1" promptTitle="Nombre de mois" prompt="Saisir la période en mois. Les équations sont permises (p. ex. : =6*12)" sqref="I28:I33" xr:uid="{EB16637F-A5DC-4A4E-AF62-66DE625C6AF4}">
      <formula1>1</formula1>
      <formula2>999</formula2>
    </dataValidation>
    <dataValidation type="decimal" allowBlank="1" showInputMessage="1" showErrorMessage="1" errorTitle="Not a number" error="Enter the Envelope Contribution for this licence" sqref="C28:C33 F29" xr:uid="{7B900490-1DA1-4AE0-AA86-790DA8AB7335}">
      <formula1>0</formula1>
      <formula2>999999999999999</formula2>
    </dataValidation>
    <dataValidation allowBlank="1" showInputMessage="1" showErrorMessage="1" promptTitle="Date" prompt="ex. A-M-J" sqref="G28:G33" xr:uid="{1D692BF6-D2EB-403A-8128-D05A5BE40452}"/>
    <dataValidation type="list" allowBlank="1" showInputMessage="1" showErrorMessage="1" sqref="E9:E10 E15" xr:uid="{53588BA9-55AB-4BFC-8060-1A8CBE330C84}">
      <formula1>$A$70:$A$72</formula1>
    </dataValidation>
    <dataValidation type="decimal" allowBlank="1" showInputMessage="1" showErrorMessage="1" errorTitle="Not a number" error="Enter the Envelope Contribution for this licence" prompt="SVP entrez les télédiffuseurs en premier, voir note (1) ci-dessus" sqref="E28:F28" xr:uid="{8F0E60DA-F4CA-4BEB-8ADD-83C94571BC68}">
      <formula1>0</formula1>
      <formula2>999999999999999</formula2>
    </dataValidation>
    <dataValidation type="decimal" allowBlank="1" showErrorMessage="1" errorTitle="Not a number" error="Enter the Envelope Contribution for this licence" sqref="E29:E33" xr:uid="{0E30FDF6-7CE4-40E8-858E-8FF10B047AB1}">
      <formula1>0</formula1>
      <formula2>999999999999999</formula2>
    </dataValidation>
    <dataValidation allowBlank="1" showInputMessage="1" showErrorMessage="1" promptTitle="Entité Int. (CMM)" prompt="Pour E&amp;J : les DDA + la CMM doivent être au moins 75% de l’exigence seuil. Voir aussi la note (3)." sqref="J50" xr:uid="{2DE3CD83-2847-40DC-B78A-83B338B9A05F}"/>
    <dataValidation type="custom" showInputMessage="1" showErrorMessage="1" error="SVP ne pas supprimer" sqref="A68 J68" xr:uid="{E77A85B7-180E-4C2F-9664-EC4E16DCDECB}">
      <formula1>""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locked="0" defaultSize="0" autoLine="0" autoPict="0">
                <anchor moveWithCells="1">
                  <from>
                    <xdr:col>2</xdr:col>
                    <xdr:colOff>57150</xdr:colOff>
                    <xdr:row>4</xdr:row>
                    <xdr:rowOff>0</xdr:rowOff>
                  </from>
                  <to>
                    <xdr:col>5</xdr:col>
                    <xdr:colOff>152400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5" name="Drop Down 40">
              <controlPr locked="0" defaultSize="0" autoLine="0" autoPict="0">
                <anchor moveWithCells="1">
                  <from>
                    <xdr:col>1</xdr:col>
                    <xdr:colOff>590550</xdr:colOff>
                    <xdr:row>10</xdr:row>
                    <xdr:rowOff>19050</xdr:rowOff>
                  </from>
                  <to>
                    <xdr:col>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EB73275-7B34-4C35-AC7C-F266264BFDE5}">
            <xm:f>NOT(ISERROR(SEARCH("No",M94)))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M94:M98</xm:sqref>
        </x14:conditionalFormatting>
        <x14:conditionalFormatting xmlns:xm="http://schemas.microsoft.com/office/excel/2006/main">
          <x14:cfRule type="containsText" priority="2" operator="containsText" id="{BA012D39-807F-4C28-90CB-E3F024A041A2}">
            <xm:f>NOT(ISERROR(SEARCH("No",N95)))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N95</xm:sqref>
        </x14:conditionalFormatting>
        <x14:conditionalFormatting xmlns:xm="http://schemas.microsoft.com/office/excel/2006/main">
          <x14:cfRule type="containsText" priority="1" operator="containsText" id="{CC26563A-5BF7-4E80-95EF-ADF44F5624F6}">
            <xm:f>NOT(ISERROR(SEARCH("No",N97)))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N97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  <_dlc_DocId xmlns="dc2e72fa-f2bf-4b7e-897e-98e66666beee">CMFREL-1750552771-3792</_dlc_DocId>
    <_dlc_DocIdUrl xmlns="dc2e72fa-f2bf-4b7e-897e-98e66666beee">
      <Url>https://telefilm.sharepoint.com/sites/TheRebrandGroup/_layouts/15/DocIdRedir.aspx?ID=CMFREL-1750552771-3792</Url>
      <Description>CMFREL-1750552771-3792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8758206-B560-42EC-A4CC-D7E95417425A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dc2e72fa-f2bf-4b7e-897e-98e66666beee"/>
    <ds:schemaRef ds:uri="http://schemas.microsoft.com/office/2006/metadata/properties"/>
    <ds:schemaRef ds:uri="995c7fa0-c7ce-4135-b1bb-e7af7b680b45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3E3A2A2-0C8E-485D-9050-C2C0D9E63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5C3807-BA35-4B6B-BBAE-734FE68C8C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9875A8-3A76-45B8-B0A0-6E30A25416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AMI</vt:lpstr>
      <vt:lpstr>PLFMM</vt:lpstr>
      <vt:lpstr>AMI!Zone_d_impression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2012-05-02T16:23:31Z</dcterms:created>
  <dcterms:modified xsi:type="dcterms:W3CDTF">2025-05-24T20:16:08Z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c13274dc-c081-43ab-a514-926d43f6a3be</vt:lpwstr>
  </property>
  <property fmtid="{D5CDD505-2E9C-101B-9397-08002B2CF9AE}" pid="4" name="MediaServiceImageTags">
    <vt:lpwstr/>
  </property>
</Properties>
</file>