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907" documentId="8_{2D10683D-6D94-4C7E-ADA6-396E7660A6E4}" xr6:coauthVersionLast="47" xr6:coauthVersionMax="47" xr10:uidLastSave="{786B413C-9F50-47C6-8BD4-04610F00FA71}"/>
  <bookViews>
    <workbookView xWindow="28680" yWindow="735" windowWidth="29040" windowHeight="15720" xr2:uid="{00000000-000D-0000-FFFF-FFFF00000000}"/>
  </bookViews>
  <sheets>
    <sheet name="AMI" sheetId="5" r:id="rId1"/>
    <sheet name="PLFMM" sheetId="6" r:id="rId2"/>
  </sheets>
  <definedNames>
    <definedName name="_xlnm.Print_Area" localSheetId="0">AMI!$A$1:$O$98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9" i="5" l="1"/>
  <c r="W67" i="5"/>
  <c r="W65" i="5"/>
  <c r="W63" i="5"/>
  <c r="W61" i="5"/>
  <c r="W73" i="6"/>
  <c r="W71" i="6"/>
  <c r="W69" i="6"/>
  <c r="W67" i="6"/>
  <c r="W65" i="6"/>
  <c r="W63" i="6"/>
  <c r="C107" i="6" l="1"/>
  <c r="C105" i="6"/>
  <c r="C103" i="6"/>
  <c r="V73" i="6" l="1"/>
  <c r="D73" i="6"/>
  <c r="B73" i="6"/>
  <c r="V71" i="6"/>
  <c r="D71" i="6"/>
  <c r="B71" i="6"/>
  <c r="V69" i="6"/>
  <c r="D69" i="6"/>
  <c r="B69" i="6"/>
  <c r="V67" i="6"/>
  <c r="D67" i="6"/>
  <c r="B67" i="6"/>
  <c r="V65" i="6"/>
  <c r="D65" i="6"/>
  <c r="B65" i="6"/>
  <c r="V63" i="6"/>
  <c r="F63" i="6"/>
  <c r="K63" i="6" s="1"/>
  <c r="D63" i="6"/>
  <c r="B63" i="6"/>
  <c r="Y51" i="6"/>
  <c r="X51" i="6"/>
  <c r="C29" i="6"/>
  <c r="X35" i="6" l="1"/>
  <c r="X34" i="6"/>
  <c r="X33" i="6"/>
  <c r="X32" i="6"/>
  <c r="X31" i="6"/>
  <c r="X30" i="6"/>
  <c r="B64" i="6" l="1"/>
  <c r="C59" i="6"/>
  <c r="C60" i="6" s="1"/>
  <c r="H63" i="6"/>
  <c r="C57" i="6"/>
  <c r="D57" i="6"/>
  <c r="D59" i="6"/>
  <c r="D60" i="6" s="1"/>
  <c r="B66" i="6"/>
  <c r="H65" i="6"/>
  <c r="E59" i="6"/>
  <c r="E60" i="6" s="1"/>
  <c r="B68" i="6"/>
  <c r="E57" i="6"/>
  <c r="F57" i="6"/>
  <c r="B70" i="6"/>
  <c r="H69" i="6"/>
  <c r="G47" i="6" s="1"/>
  <c r="F59" i="6"/>
  <c r="F60" i="6" s="1"/>
  <c r="B72" i="6"/>
  <c r="G57" i="6"/>
  <c r="G59" i="6"/>
  <c r="G60" i="6" s="1"/>
  <c r="H71" i="6"/>
  <c r="G48" i="6" s="1"/>
  <c r="B74" i="6"/>
  <c r="H57" i="6"/>
  <c r="H73" i="6"/>
  <c r="H59" i="6"/>
  <c r="H60" i="6" s="1"/>
  <c r="H67" i="6"/>
  <c r="G46" i="6" s="1"/>
  <c r="D29" i="6"/>
  <c r="H48" i="6" l="1"/>
  <c r="H44" i="6"/>
  <c r="G44" i="6"/>
  <c r="H47" i="6"/>
  <c r="H49" i="6"/>
  <c r="G49" i="6"/>
  <c r="H46" i="6"/>
  <c r="H45" i="6"/>
  <c r="G45" i="6"/>
  <c r="H50" i="6" l="1"/>
  <c r="J44" i="6"/>
  <c r="L44" i="6" s="1"/>
  <c r="G50" i="6"/>
  <c r="E17" i="6" l="1"/>
  <c r="E18" i="6" s="1"/>
  <c r="V102" i="6"/>
  <c r="V107" i="6"/>
  <c r="W107" i="6" s="1"/>
  <c r="X107" i="6" s="1"/>
  <c r="V105" i="6"/>
  <c r="W105" i="6" s="1"/>
  <c r="X105" i="6" s="1"/>
  <c r="J107" i="6"/>
  <c r="K107" i="6" s="1"/>
  <c r="G107" i="6"/>
  <c r="H107" i="6" s="1"/>
  <c r="F107" i="6"/>
  <c r="F105" i="6"/>
  <c r="G105" i="6" s="1"/>
  <c r="H105" i="6" s="1"/>
  <c r="D107" i="6"/>
  <c r="E107" i="6" s="1"/>
  <c r="I107" i="6"/>
  <c r="V103" i="6"/>
  <c r="W103" i="6" s="1"/>
  <c r="X103" i="6" s="1"/>
  <c r="F103" i="6"/>
  <c r="G103" i="6" s="1"/>
  <c r="W49" i="6"/>
  <c r="W48" i="6"/>
  <c r="X49" i="6" s="1"/>
  <c r="F73" i="6" s="1"/>
  <c r="W47" i="6"/>
  <c r="X48" i="6" s="1"/>
  <c r="F71" i="6" s="1"/>
  <c r="W46" i="6"/>
  <c r="X47" i="6" s="1"/>
  <c r="F69" i="6" s="1"/>
  <c r="W45" i="6"/>
  <c r="X46" i="6" s="1"/>
  <c r="F67" i="6" s="1"/>
  <c r="W44" i="6"/>
  <c r="X45" i="6" s="1"/>
  <c r="F65" i="6" s="1"/>
  <c r="V49" i="6"/>
  <c r="V48" i="6"/>
  <c r="V47" i="6"/>
  <c r="V46" i="6"/>
  <c r="V45" i="6"/>
  <c r="V44" i="6"/>
  <c r="W110" i="6"/>
  <c r="A104" i="6"/>
  <c r="A105" i="6" s="1"/>
  <c r="A103" i="6"/>
  <c r="D96" i="6"/>
  <c r="E96" i="6" s="1"/>
  <c r="G96" i="6" s="1"/>
  <c r="D94" i="6"/>
  <c r="E94" i="6" s="1"/>
  <c r="G94" i="6" s="1"/>
  <c r="D93" i="6"/>
  <c r="E93" i="6" s="1"/>
  <c r="G93" i="6" s="1"/>
  <c r="D91" i="6"/>
  <c r="E91" i="6" s="1"/>
  <c r="G91" i="6" s="1"/>
  <c r="D90" i="6"/>
  <c r="E90" i="6" s="1"/>
  <c r="G90" i="6" s="1"/>
  <c r="D89" i="6"/>
  <c r="D87" i="6"/>
  <c r="D86" i="6"/>
  <c r="D85" i="6"/>
  <c r="D84" i="6"/>
  <c r="E84" i="6" s="1"/>
  <c r="G84" i="6" s="1"/>
  <c r="D82" i="6"/>
  <c r="E82" i="6" s="1"/>
  <c r="G82" i="6" s="1"/>
  <c r="D81" i="6"/>
  <c r="E81" i="6" s="1"/>
  <c r="G81" i="6" s="1"/>
  <c r="D80" i="6"/>
  <c r="E80" i="6" s="1"/>
  <c r="G80" i="6" s="1"/>
  <c r="D79" i="6"/>
  <c r="K44" i="6"/>
  <c r="V51" i="6"/>
  <c r="B49" i="6"/>
  <c r="B48" i="6"/>
  <c r="B47" i="6"/>
  <c r="B46" i="6"/>
  <c r="B45" i="6"/>
  <c r="B44" i="6"/>
  <c r="F36" i="6"/>
  <c r="E36" i="6"/>
  <c r="D36" i="6"/>
  <c r="C42" i="6" s="1"/>
  <c r="H35" i="6"/>
  <c r="H34" i="6"/>
  <c r="H33" i="6"/>
  <c r="H32" i="6"/>
  <c r="H31" i="6"/>
  <c r="H30" i="6"/>
  <c r="C36" i="6"/>
  <c r="W21" i="6" s="1"/>
  <c r="K13" i="6"/>
  <c r="L13" i="6" s="1"/>
  <c r="F10" i="6"/>
  <c r="K8" i="6"/>
  <c r="K10" i="6" s="1"/>
  <c r="K12" i="6" s="1"/>
  <c r="L12" i="6" s="1"/>
  <c r="D95" i="6" l="1"/>
  <c r="E95" i="6" s="1"/>
  <c r="H52" i="6"/>
  <c r="I52" i="6"/>
  <c r="E79" i="6"/>
  <c r="E87" i="6"/>
  <c r="E86" i="6"/>
  <c r="G86" i="6" s="1"/>
  <c r="E85" i="6"/>
  <c r="G85" i="6" s="1"/>
  <c r="H103" i="6"/>
  <c r="E43" i="6"/>
  <c r="I105" i="6" s="1"/>
  <c r="J105" i="6" s="1"/>
  <c r="K105" i="6" s="1"/>
  <c r="H80" i="6"/>
  <c r="H81" i="6"/>
  <c r="H82" i="6"/>
  <c r="D105" i="6" l="1"/>
  <c r="E105" i="6" s="1"/>
  <c r="H79" i="6"/>
  <c r="E89" i="6"/>
  <c r="H85" i="6"/>
  <c r="H86" i="6"/>
  <c r="H87" i="6"/>
  <c r="I103" i="6"/>
  <c r="J103" i="6" s="1"/>
  <c r="F43" i="6"/>
  <c r="J51" i="6"/>
  <c r="I51" i="6" l="1"/>
  <c r="K103" i="6"/>
  <c r="D103" i="6"/>
  <c r="E103" i="6" s="1"/>
  <c r="E50" i="6"/>
  <c r="C50" i="6" l="1"/>
  <c r="E48" i="6"/>
  <c r="F48" i="6" s="1"/>
  <c r="E49" i="6"/>
  <c r="F49" i="6" s="1"/>
  <c r="C43" i="6"/>
  <c r="D43" i="6" s="1"/>
  <c r="E45" i="6"/>
  <c r="F45" i="6" s="1"/>
  <c r="E47" i="6"/>
  <c r="F47" i="6" s="1"/>
  <c r="E44" i="6"/>
  <c r="F44" i="6" s="1"/>
  <c r="E46" i="6"/>
  <c r="F46" i="6" s="1"/>
  <c r="F50" i="6" l="1"/>
  <c r="C44" i="6"/>
  <c r="D44" i="6" s="1"/>
  <c r="C45" i="6"/>
  <c r="D45" i="6" s="1"/>
  <c r="C49" i="6"/>
  <c r="D49" i="6" s="1"/>
  <c r="C46" i="6"/>
  <c r="D46" i="6" s="1"/>
  <c r="C48" i="6"/>
  <c r="D48" i="6" s="1"/>
  <c r="C47" i="6"/>
  <c r="D47" i="6" s="1"/>
  <c r="D50" i="6"/>
  <c r="I100" i="5" l="1"/>
  <c r="J100" i="5" s="1"/>
  <c r="K100" i="5" s="1"/>
  <c r="F100" i="5"/>
  <c r="G100" i="5" s="1"/>
  <c r="H100" i="5" s="1"/>
  <c r="B100" i="5"/>
  <c r="G99" i="5"/>
  <c r="H99" i="5" s="1"/>
  <c r="F99" i="5"/>
  <c r="D99" i="5"/>
  <c r="E99" i="5" s="1"/>
  <c r="C99" i="5"/>
  <c r="D94" i="5"/>
  <c r="E94" i="5" s="1"/>
  <c r="F94" i="5" s="1"/>
  <c r="D93" i="5"/>
  <c r="D91" i="5"/>
  <c r="E91" i="5" s="1"/>
  <c r="F91" i="5" s="1"/>
  <c r="D90" i="5"/>
  <c r="D89" i="5"/>
  <c r="E89" i="5" s="1"/>
  <c r="F89" i="5" s="1"/>
  <c r="D88" i="5"/>
  <c r="D87" i="5"/>
  <c r="E87" i="5" s="1"/>
  <c r="F87" i="5" s="1"/>
  <c r="D86" i="5"/>
  <c r="D85" i="5"/>
  <c r="E85" i="5" s="1"/>
  <c r="F85" i="5" s="1"/>
  <c r="D83" i="5"/>
  <c r="E83" i="5" s="1"/>
  <c r="D82" i="5"/>
  <c r="E82" i="5" s="1"/>
  <c r="D81" i="5"/>
  <c r="E81" i="5" s="1"/>
  <c r="F81" i="5" s="1"/>
  <c r="D80" i="5"/>
  <c r="E80" i="5" s="1"/>
  <c r="D78" i="5"/>
  <c r="E78" i="5" s="1"/>
  <c r="D77" i="5"/>
  <c r="E77" i="5" s="1"/>
  <c r="F77" i="5" s="1"/>
  <c r="D76" i="5"/>
  <c r="E76" i="5" s="1"/>
  <c r="D75" i="5"/>
  <c r="E75" i="5" s="1"/>
  <c r="A74" i="5"/>
  <c r="V69" i="5"/>
  <c r="D69" i="5"/>
  <c r="B69" i="5"/>
  <c r="V67" i="5"/>
  <c r="D67" i="5"/>
  <c r="B67" i="5"/>
  <c r="V65" i="5"/>
  <c r="D65" i="5"/>
  <c r="B65" i="5"/>
  <c r="V63" i="5"/>
  <c r="D63" i="5"/>
  <c r="B63" i="5"/>
  <c r="B62" i="5"/>
  <c r="H41" i="5" s="1"/>
  <c r="V61" i="5"/>
  <c r="D61" i="5"/>
  <c r="B61" i="5"/>
  <c r="V59" i="5"/>
  <c r="F59" i="5"/>
  <c r="K59" i="5" s="1"/>
  <c r="D59" i="5"/>
  <c r="B59" i="5"/>
  <c r="X45" i="5"/>
  <c r="V45" i="5"/>
  <c r="G45" i="5"/>
  <c r="B45" i="5"/>
  <c r="X44" i="5"/>
  <c r="V44" i="5"/>
  <c r="G44" i="5"/>
  <c r="B44" i="5"/>
  <c r="X43" i="5"/>
  <c r="V43" i="5"/>
  <c r="G43" i="5"/>
  <c r="B43" i="5"/>
  <c r="X42" i="5"/>
  <c r="V42" i="5"/>
  <c r="G42" i="5"/>
  <c r="B42" i="5"/>
  <c r="X41" i="5"/>
  <c r="V41" i="5"/>
  <c r="G41" i="5"/>
  <c r="B41" i="5"/>
  <c r="V40" i="5"/>
  <c r="G40" i="5"/>
  <c r="B40" i="5"/>
  <c r="C33" i="5"/>
  <c r="F32" i="5"/>
  <c r="E32" i="5"/>
  <c r="D32" i="5"/>
  <c r="C39" i="5" s="1"/>
  <c r="C32" i="5"/>
  <c r="E46" i="5" s="1"/>
  <c r="Y31" i="5"/>
  <c r="X31" i="5"/>
  <c r="B70" i="5" s="1"/>
  <c r="H45" i="5" s="1"/>
  <c r="H31" i="5"/>
  <c r="Y30" i="5"/>
  <c r="X30" i="5"/>
  <c r="B68" i="5" s="1"/>
  <c r="H44" i="5" s="1"/>
  <c r="H30" i="5"/>
  <c r="Y29" i="5"/>
  <c r="X29" i="5"/>
  <c r="F53" i="5" s="1"/>
  <c r="H29" i="5"/>
  <c r="Y28" i="5"/>
  <c r="X28" i="5"/>
  <c r="H28" i="5"/>
  <c r="Y27" i="5"/>
  <c r="X27" i="5"/>
  <c r="D53" i="5" s="1"/>
  <c r="H27" i="5"/>
  <c r="Y26" i="5"/>
  <c r="X26" i="5"/>
  <c r="C55" i="5" s="1"/>
  <c r="C56" i="5" s="1"/>
  <c r="H26" i="5"/>
  <c r="E12" i="5"/>
  <c r="E13" i="5" s="1"/>
  <c r="K10" i="5"/>
  <c r="L10" i="5" s="1"/>
  <c r="F8" i="5"/>
  <c r="K5" i="5"/>
  <c r="K7" i="5" s="1"/>
  <c r="K9" i="5" s="1"/>
  <c r="L9" i="5" s="1"/>
  <c r="C100" i="5" l="1"/>
  <c r="D100" i="5" s="1"/>
  <c r="E100" i="5" s="1"/>
  <c r="E93" i="5"/>
  <c r="F93" i="5" s="1"/>
  <c r="E86" i="5"/>
  <c r="F86" i="5" s="1"/>
  <c r="H53" i="5"/>
  <c r="E88" i="5"/>
  <c r="F88" i="5" s="1"/>
  <c r="H65" i="5"/>
  <c r="H61" i="5"/>
  <c r="E90" i="5"/>
  <c r="F90" i="5" s="1"/>
  <c r="E47" i="5"/>
  <c r="F47" i="5" s="1"/>
  <c r="D55" i="5"/>
  <c r="D56" i="5" s="1"/>
  <c r="D25" i="5"/>
  <c r="G46" i="5"/>
  <c r="G77" i="5"/>
  <c r="G81" i="5"/>
  <c r="F75" i="5"/>
  <c r="G75" i="5"/>
  <c r="G83" i="5"/>
  <c r="F83" i="5"/>
  <c r="G80" i="5"/>
  <c r="F80" i="5"/>
  <c r="E45" i="5"/>
  <c r="E44" i="5"/>
  <c r="C46" i="5"/>
  <c r="E43" i="5"/>
  <c r="E42" i="5"/>
  <c r="E40" i="5"/>
  <c r="E41" i="5"/>
  <c r="F61" i="5"/>
  <c r="F65" i="5"/>
  <c r="F67" i="5"/>
  <c r="F63" i="5"/>
  <c r="F69" i="5"/>
  <c r="F78" i="5"/>
  <c r="G78" i="5"/>
  <c r="G76" i="5"/>
  <c r="F76" i="5"/>
  <c r="F82" i="5"/>
  <c r="G82" i="5"/>
  <c r="E55" i="5"/>
  <c r="E56" i="5" s="1"/>
  <c r="F55" i="5"/>
  <c r="F56" i="5" s="1"/>
  <c r="H59" i="5"/>
  <c r="B66" i="5"/>
  <c r="H43" i="5" s="1"/>
  <c r="H69" i="5"/>
  <c r="G55" i="5"/>
  <c r="G56" i="5" s="1"/>
  <c r="H55" i="5"/>
  <c r="H56" i="5" s="1"/>
  <c r="C53" i="5"/>
  <c r="W59" i="5"/>
  <c r="B60" i="5" s="1"/>
  <c r="H40" i="5" s="1"/>
  <c r="H63" i="5"/>
  <c r="E53" i="5"/>
  <c r="B64" i="5"/>
  <c r="H42" i="5" s="1"/>
  <c r="H67" i="5"/>
  <c r="G53" i="5"/>
  <c r="C41" i="5" l="1"/>
  <c r="C42" i="5"/>
  <c r="C40" i="5"/>
  <c r="C45" i="5"/>
  <c r="C44" i="5"/>
  <c r="C43" i="5"/>
  <c r="D46" i="5"/>
  <c r="H46" i="5"/>
  <c r="J40" i="5"/>
  <c r="L40" i="5" l="1"/>
  <c r="K40" i="5"/>
  <c r="F44" i="5"/>
  <c r="F40" i="5"/>
  <c r="F41" i="5"/>
  <c r="I46" i="5"/>
  <c r="J46" i="5" s="1"/>
  <c r="I48" i="5"/>
  <c r="H48" i="5"/>
  <c r="D45" i="5"/>
  <c r="F45" i="5" s="1"/>
  <c r="D41" i="5"/>
  <c r="D44" i="5"/>
  <c r="D43" i="5"/>
  <c r="F43" i="5" s="1"/>
  <c r="D42" i="5"/>
  <c r="F42" i="5" s="1"/>
  <c r="D40" i="5"/>
  <c r="F46" i="5" l="1"/>
  <c r="I45" i="5"/>
  <c r="J45" i="5" s="1"/>
  <c r="I44" i="5"/>
  <c r="J44" i="5" s="1"/>
  <c r="I42" i="5"/>
  <c r="J42" i="5" s="1"/>
  <c r="I43" i="5"/>
  <c r="J43" i="5" s="1"/>
  <c r="I41" i="5"/>
  <c r="J41" i="5" s="1"/>
  <c r="L41" i="5" l="1"/>
  <c r="K41" i="5"/>
  <c r="L43" i="5"/>
  <c r="K43" i="5"/>
  <c r="L42" i="5"/>
  <c r="K42" i="5"/>
  <c r="L44" i="5"/>
  <c r="K44" i="5"/>
  <c r="L45" i="5"/>
  <c r="K45" i="5"/>
  <c r="L46" i="5"/>
  <c r="K46" i="5" l="1"/>
  <c r="H84" i="6"/>
  <c r="I50" i="6" s="1"/>
  <c r="I49" i="6" l="1"/>
  <c r="J49" i="6" s="1"/>
  <c r="L49" i="6" s="1"/>
  <c r="J50" i="6"/>
  <c r="G95" i="6" s="1"/>
  <c r="I45" i="6"/>
  <c r="J45" i="6" s="1"/>
  <c r="L45" i="6" s="1"/>
  <c r="I47" i="6"/>
  <c r="J47" i="6" s="1"/>
  <c r="L47" i="6" s="1"/>
  <c r="I48" i="6"/>
  <c r="J48" i="6" s="1"/>
  <c r="L48" i="6" s="1"/>
  <c r="I46" i="6"/>
  <c r="J46" i="6" s="1"/>
  <c r="L46" i="6" s="1"/>
  <c r="G89" i="6"/>
  <c r="K48" i="6" l="1"/>
  <c r="G87" i="6"/>
  <c r="G79" i="6"/>
  <c r="K46" i="6"/>
  <c r="L50" i="6"/>
  <c r="K45" i="6"/>
  <c r="K49" i="6"/>
  <c r="K47" i="6"/>
  <c r="K50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E5" authorId="0" shapeId="0" xr:uid="{18471189-8412-4EFD-AFFD-BA2C28B5F525}">
      <text>
        <r>
          <rPr>
            <b/>
            <sz val="9"/>
            <color indexed="81"/>
            <rFont val="Tahoma"/>
            <family val="2"/>
          </rPr>
          <t>Must be Canadian eligible cost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 shapeId="0" xr:uid="{35112531-6581-42B6-A402-C3492CB40BB0}">
      <text>
        <r>
          <rPr>
            <sz val="9"/>
            <color indexed="81"/>
            <rFont val="Tahoma"/>
            <family val="2"/>
          </rPr>
          <t xml:space="preserve">Knowledge Network, Télé-Québec, TFO and TVO
</t>
        </r>
      </text>
    </comment>
    <comment ref="E14" authorId="0" shapeId="0" xr:uid="{31FB9645-EDCB-46FE-B7BA-B3B7637820C8}">
      <text>
        <r>
          <rPr>
            <b/>
            <sz val="9"/>
            <color indexed="81"/>
            <rFont val="Tahoma"/>
            <family val="2"/>
          </rPr>
          <t>Amount for the Anglophone Minority Incentive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E8" authorId="0" shapeId="0" xr:uid="{C266CD02-7064-467C-8AC4-F3DF1F0B28F8}">
      <text>
        <r>
          <rPr>
            <b/>
            <sz val="9"/>
            <color indexed="81"/>
            <rFont val="Tahoma"/>
            <family val="2"/>
          </rPr>
          <t xml:space="preserve">Doit correspondre aux dépenses admissibles canadiennes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" authorId="0" shapeId="0" xr:uid="{534C0A24-0A58-45D6-BE14-4B9AFFA60DC4}">
      <text>
        <r>
          <rPr>
            <b/>
            <sz val="9"/>
            <color indexed="81"/>
            <rFont val="Tahoma"/>
            <family val="2"/>
          </rPr>
          <t xml:space="preserve">Knowledge Network, Télé-Québec, TFO et TVO
</t>
        </r>
      </text>
    </comment>
    <comment ref="Y12" authorId="0" shapeId="0" xr:uid="{C6DE89E4-6552-4097-8AEA-4E6E7D630C02}">
      <text>
        <r>
          <rPr>
            <b/>
            <sz val="9"/>
            <color indexed="81"/>
            <rFont val="Tahoma"/>
            <family val="2"/>
          </rPr>
          <t>Si oui, veuillez entrer le montant de la mesure incitative dans cette cellule</t>
        </r>
      </text>
    </comment>
  </commentList>
</comments>
</file>

<file path=xl/sharedStrings.xml><?xml version="1.0" encoding="utf-8"?>
<sst xmlns="http://schemas.openxmlformats.org/spreadsheetml/2006/main" count="401" uniqueCount="282">
  <si>
    <t>Project
Name:</t>
  </si>
  <si>
    <t>Project No:</t>
  </si>
  <si>
    <t>Date:</t>
  </si>
  <si>
    <t>Please complete all green cells</t>
  </si>
  <si>
    <t>Budget/Final Cost</t>
  </si>
  <si>
    <t>Episode Length (in Min.)</t>
  </si>
  <si>
    <t>Total Hours</t>
  </si>
  <si>
    <t xml:space="preserve">Budget/Hour </t>
  </si>
  <si>
    <t>Are all Broadcasters Educational?</t>
  </si>
  <si>
    <t>Are the AMI Applicant’s development and production projects that received CMF funding mainly and predominantly in the English language?</t>
  </si>
  <si>
    <t>Is there an Incentive Program?</t>
  </si>
  <si>
    <t>Yes</t>
  </si>
  <si>
    <t>Carbon calculator required?</t>
  </si>
  <si>
    <t>AMI Contribution</t>
  </si>
  <si>
    <t>Described video required?</t>
  </si>
  <si>
    <t>Budget Category (Genre)</t>
  </si>
  <si>
    <t>(2): If the project has both English and French licences, do not complete the "Exclusivity" column</t>
  </si>
  <si>
    <r>
      <t xml:space="preserve">Broadcaster </t>
    </r>
    <r>
      <rPr>
        <b/>
        <sz val="10"/>
        <color rgb="FF1F497D"/>
        <rFont val="Calibri"/>
        <family val="2"/>
        <scheme val="minor"/>
      </rPr>
      <t>(1)</t>
    </r>
    <r>
      <rPr>
        <b/>
        <sz val="10"/>
        <color rgb="FFFF000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Or Eligible Canadian Distributor
Or Eligible International Entity</t>
    </r>
  </si>
  <si>
    <r>
      <t xml:space="preserve">Start of Term Date </t>
    </r>
    <r>
      <rPr>
        <b/>
        <sz val="10"/>
        <color rgb="FF1F497D"/>
        <rFont val="Calibri"/>
        <family val="2"/>
        <scheme val="minor"/>
      </rPr>
      <t>(1)</t>
    </r>
  </si>
  <si>
    <t>End of Term Date</t>
  </si>
  <si>
    <t>Term Length
(in Months)</t>
  </si>
  <si>
    <r>
      <t xml:space="preserve">Exclusivity
(in Months) </t>
    </r>
    <r>
      <rPr>
        <b/>
        <sz val="10"/>
        <color rgb="FF1F497D"/>
        <rFont val="Calibri"/>
        <family val="2"/>
        <scheme val="minor"/>
      </rPr>
      <t xml:space="preserve"> (2)</t>
    </r>
  </si>
  <si>
    <t>Language</t>
  </si>
  <si>
    <t># 1</t>
  </si>
  <si>
    <t># 2</t>
  </si>
  <si>
    <t># 3</t>
  </si>
  <si>
    <t># 4</t>
  </si>
  <si>
    <t># 5</t>
  </si>
  <si>
    <t># 6</t>
  </si>
  <si>
    <t>Totals:</t>
  </si>
  <si>
    <t>Anglophone Minority  Incentive</t>
  </si>
  <si>
    <t>Notes:</t>
  </si>
  <si>
    <r>
      <t>Broadcaster</t>
    </r>
    <r>
      <rPr>
        <b/>
        <sz val="10"/>
        <color rgb="FFFF000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Or Eligible Canadian Distributor
Or Eligible International Entity</t>
    </r>
  </si>
  <si>
    <t xml:space="preserve">Maximum  Investment </t>
  </si>
  <si>
    <t xml:space="preserve">CMF Contribution </t>
  </si>
  <si>
    <t>% CMF Contribution of Budget</t>
  </si>
  <si>
    <t>Adjusted Term Length</t>
  </si>
  <si>
    <t>Adjusted Exclusivity</t>
  </si>
  <si>
    <t>Revised Start Date of Term</t>
  </si>
  <si>
    <t>N/A</t>
  </si>
  <si>
    <t>Totals :</t>
  </si>
  <si>
    <t xml:space="preserve"> </t>
  </si>
  <si>
    <t>÷</t>
  </si>
  <si>
    <t>x</t>
  </si>
  <si>
    <t>=</t>
  </si>
  <si>
    <t>Last Day of Maximum Term:</t>
  </si>
  <si>
    <t>Term Months</t>
  </si>
  <si>
    <t>Maximum Term</t>
  </si>
  <si>
    <t>Pro-Rated Amount</t>
  </si>
  <si>
    <t>Budget Category</t>
  </si>
  <si>
    <t>Formula</t>
  </si>
  <si>
    <t>Calculated Amount</t>
  </si>
  <si>
    <t xml:space="preserve">Threshold Respected? </t>
  </si>
  <si>
    <t>Over OR
 (Shortfall)</t>
  </si>
  <si>
    <t xml:space="preserve">International Entity </t>
  </si>
  <si>
    <t xml:space="preserve">     * CHILDREN &amp; YOUTH *</t>
  </si>
  <si>
    <t>Live-action
Budget less than $750,000/hour</t>
  </si>
  <si>
    <t>Lesser of 20% and $130,000/hour</t>
  </si>
  <si>
    <t>Live-action
Budget more than or equal to $750,000/hour</t>
  </si>
  <si>
    <t>$130,000/hour</t>
  </si>
  <si>
    <t>No</t>
  </si>
  <si>
    <t>100% Animated Eligible Projects</t>
  </si>
  <si>
    <t>10% of eligible costs</t>
  </si>
  <si>
    <t>Theatrically-released Animated Feature Films</t>
  </si>
  <si>
    <t>Lesser of 5% and $190,000 by project</t>
  </si>
  <si>
    <t xml:space="preserve">     * DOCUMENTARY *</t>
  </si>
  <si>
    <t>One-offs and mini-series (excluding feature-length documentaries)</t>
  </si>
  <si>
    <t>Lesser of 30% or $100,000/hour</t>
  </si>
  <si>
    <t>Series</t>
  </si>
  <si>
    <t>Lesser of 40% or $100,000/hour</t>
  </si>
  <si>
    <r>
      <t xml:space="preserve">All projects 
over 400K per hour  </t>
    </r>
    <r>
      <rPr>
        <u/>
        <sz val="10"/>
        <rFont val="Calibri"/>
        <family val="2"/>
        <scheme val="minor"/>
      </rPr>
      <t>excl. feature-length docs</t>
    </r>
    <r>
      <rPr>
        <sz val="10"/>
        <rFont val="Calibri"/>
        <family val="2"/>
        <scheme val="minor"/>
      </rPr>
      <t>)</t>
    </r>
  </si>
  <si>
    <t>$100,000/hour</t>
  </si>
  <si>
    <t>Feature-length documentary</t>
  </si>
  <si>
    <t>Lesser of 10% or $60,000/project</t>
  </si>
  <si>
    <t xml:space="preserve">     * DRAMA *</t>
  </si>
  <si>
    <t>All projects less than $800,000/hour</t>
  </si>
  <si>
    <t>Lesser of 45% and $315,000/hour</t>
  </si>
  <si>
    <t>Series or one-off equal/more than $800,000/hour</t>
  </si>
  <si>
    <t>$315,000/hour</t>
  </si>
  <si>
    <t>MOW or miniseries equal/more than $800,000/hour and less than $1,857,143/hour</t>
  </si>
  <si>
    <t>$235,000/hour</t>
  </si>
  <si>
    <t>MOW or miniseries greater than $1,857,143/hour</t>
  </si>
  <si>
    <t>12.5% of budget</t>
  </si>
  <si>
    <t>Theatrically-released Feature Films</t>
  </si>
  <si>
    <t>Lesser of 5% and
$230,000/project</t>
  </si>
  <si>
    <t>1/2-hour pilot greater than $700,000 per 1/2hour</t>
  </si>
  <si>
    <t>$205,000/1/2-hour</t>
  </si>
  <si>
    <t>1-hour pilot greater than $1,750,000/hour</t>
  </si>
  <si>
    <t>$525,000/hour</t>
  </si>
  <si>
    <t xml:space="preserve">     * VAPA *</t>
  </si>
  <si>
    <t>Budget less than $750,000/hour</t>
  </si>
  <si>
    <t>Lesser of 40% or $240,000/hour</t>
  </si>
  <si>
    <t>Budget more than or equal to $750,000/hour</t>
  </si>
  <si>
    <t>$240,000/hour</t>
  </si>
  <si>
    <t>Maximum CMF Contribution:</t>
  </si>
  <si>
    <t xml:space="preserve">                       </t>
  </si>
  <si>
    <t xml:space="preserve">CMF Contribution    </t>
  </si>
  <si>
    <t>Anglophone Minority Incentive</t>
  </si>
  <si>
    <t>CMF Maximum</t>
  </si>
  <si>
    <t>Max. Contribution Respected?</t>
  </si>
  <si>
    <t>Over</t>
  </si>
  <si>
    <t xml:space="preserve">BEP Maximum </t>
  </si>
  <si>
    <t xml:space="preserve">Incentive Maximum </t>
  </si>
  <si>
    <t>Envelope Only</t>
  </si>
  <si>
    <t>Max of Eligible Costs</t>
  </si>
  <si>
    <t xml:space="preserve">
</t>
  </si>
  <si>
    <t>Titre du projet :</t>
  </si>
  <si>
    <t>No du projet :</t>
  </si>
  <si>
    <t>Date :</t>
  </si>
  <si>
    <t>Complétez toutes les cellules vertes</t>
  </si>
  <si>
    <t>Catégorie de devis :</t>
  </si>
  <si>
    <t xml:space="preserve">Devis /Coût final de production </t>
  </si>
  <si>
    <t>Nombre
d'épisodes</t>
  </si>
  <si>
    <t>Nombre total d'heures</t>
  </si>
  <si>
    <r>
      <t xml:space="preserve">Les diffuseurs sont-ils </t>
    </r>
    <r>
      <rPr>
        <b/>
        <u/>
        <sz val="10"/>
        <color rgb="FF000000"/>
        <rFont val="Calibri"/>
        <family val="2"/>
        <scheme val="minor"/>
      </rPr>
      <t>tous</t>
    </r>
    <r>
      <rPr>
        <b/>
        <sz val="10"/>
        <color indexed="8"/>
        <rFont val="Calibri"/>
        <family val="2"/>
        <scheme val="minor"/>
      </rPr>
      <t xml:space="preserve"> éducatifs ?</t>
    </r>
  </si>
  <si>
    <t>Oui</t>
  </si>
  <si>
    <t xml:space="preserve">Devis/Heure </t>
  </si>
  <si>
    <r>
      <t xml:space="preserve">Y a-t-il une mesure incitative </t>
    </r>
    <r>
      <rPr>
        <b/>
        <sz val="10"/>
        <rFont val="Calibri"/>
        <family val="2"/>
        <scheme val="minor"/>
      </rPr>
      <t>?</t>
    </r>
  </si>
  <si>
    <t>Vidéodescription requise?</t>
  </si>
  <si>
    <t>Faut-il un minimum d'allocation des enveloppes des télédiffuseurs  (Env. des télédiffuseurs) ?</t>
  </si>
  <si>
    <t>Contribution PLFMM</t>
  </si>
  <si>
    <t>Est-ce une production inter-provinciale ?</t>
  </si>
  <si>
    <t>Indiquez le droit de propriété du (des) requérant(s) admissible(s) au PLFMM</t>
  </si>
  <si>
    <t>Contribution de l'enveloppe des télédiffuseurs</t>
  </si>
  <si>
    <t>(2) : Lorsque le projet cumule des licences en français ET en anglais, ne pas compléter la colonne "Exclusivité"</t>
  </si>
  <si>
    <t>Date de fin de la période</t>
  </si>
  <si>
    <t>Durée de la période (en mois)</t>
  </si>
  <si>
    <r>
      <t xml:space="preserve">Exclusivité (en mois) 
</t>
    </r>
    <r>
      <rPr>
        <b/>
        <sz val="10"/>
        <color theme="3"/>
        <rFont val="Calibri"/>
        <family val="2"/>
        <scheme val="minor"/>
      </rPr>
      <t>(2)</t>
    </r>
  </si>
  <si>
    <t>Langue</t>
  </si>
  <si>
    <t>PLFMM</t>
  </si>
  <si>
    <t>n° 1</t>
  </si>
  <si>
    <t>n° 2</t>
  </si>
  <si>
    <t>n° 3</t>
  </si>
  <si>
    <t>n° 4</t>
  </si>
  <si>
    <t>n° 5</t>
  </si>
  <si>
    <t>n° 6</t>
  </si>
  <si>
    <t>Totaux :</t>
  </si>
  <si>
    <r>
      <t>Nom du télédiffuseur</t>
    </r>
    <r>
      <rPr>
        <b/>
        <sz val="10"/>
        <rFont val="Calibri"/>
        <family val="2"/>
        <scheme val="minor"/>
      </rPr>
      <t xml:space="preserve">
ou Distributeur canadien admissible
ou Entité internationale admissible</t>
    </r>
  </si>
  <si>
    <t xml:space="preserve"> % Contribution du FMC sur le devis</t>
  </si>
  <si>
    <t>Surplus
Montants non déclencheurs</t>
  </si>
  <si>
    <t>Durée ajustée</t>
  </si>
  <si>
    <t>Durée d'exclusivité  ajustée</t>
  </si>
  <si>
    <t>Date révisée du début de la durée</t>
  </si>
  <si>
    <t>S/O</t>
  </si>
  <si>
    <t>Totaux :</t>
  </si>
  <si>
    <t>Dernier jour de la durée maximale</t>
  </si>
  <si>
    <t>Durée 
(en mois)</t>
  </si>
  <si>
    <t>Durée maximale</t>
  </si>
  <si>
    <t>Montant proportionnel</t>
  </si>
  <si>
    <t>Catégorie de devis</t>
  </si>
  <si>
    <t>Formule</t>
  </si>
  <si>
    <t>Calcul du montant</t>
  </si>
  <si>
    <t xml:space="preserve">Exigence seuil respectée ? </t>
  </si>
  <si>
    <t>Montant excédentaire OU (insuffisant)</t>
  </si>
  <si>
    <t xml:space="preserve">Entité internationale
</t>
  </si>
  <si>
    <t>* Émissions pour enfants et jeunes *</t>
  </si>
  <si>
    <t>Tournage en direct, devis de moins de 750 000 $/heure</t>
  </si>
  <si>
    <t>Non</t>
  </si>
  <si>
    <t>Tournage en direct, devis égal ou supérieur à 750 000 $/heure</t>
  </si>
  <si>
    <t>Animation (excl. longs métrages d'animation lancés en salle)</t>
  </si>
  <si>
    <t>Mesure incitative pour les projets nordiques</t>
  </si>
  <si>
    <t>Longs métrages d’animation lancés en salle</t>
  </si>
  <si>
    <t>Moindre des 2:
5% des coûts admissibles ou 
120 000 $</t>
  </si>
  <si>
    <t>* Documentaires *</t>
  </si>
  <si>
    <r>
      <t>Devis inférieur à 100 000 $/heure (</t>
    </r>
    <r>
      <rPr>
        <u/>
        <sz val="10"/>
        <color indexed="8"/>
        <rFont val="Calibri"/>
        <family val="2"/>
        <scheme val="minor"/>
      </rPr>
      <t>excl. long métrage</t>
    </r>
    <r>
      <rPr>
        <sz val="10"/>
        <color indexed="8"/>
        <rFont val="Calibri"/>
        <family val="2"/>
        <scheme val="minor"/>
      </rPr>
      <t>)</t>
    </r>
  </si>
  <si>
    <r>
      <t>Devis entre 100 000 $ et 400 000 $/heure (</t>
    </r>
    <r>
      <rPr>
        <u/>
        <sz val="10"/>
        <color indexed="8"/>
        <rFont val="Calibri"/>
        <family val="2"/>
        <scheme val="minor"/>
      </rPr>
      <t>excl. long métrage</t>
    </r>
    <r>
      <rPr>
        <sz val="10"/>
        <color indexed="8"/>
        <rFont val="Calibri"/>
        <family val="2"/>
        <scheme val="minor"/>
      </rPr>
      <t>)</t>
    </r>
  </si>
  <si>
    <r>
      <t>Devis supérieur à 400 000 $/heure (</t>
    </r>
    <r>
      <rPr>
        <u/>
        <sz val="10"/>
        <color indexed="8"/>
        <rFont val="Calibri"/>
        <family val="2"/>
        <scheme val="minor"/>
      </rPr>
      <t>excl. long métrage</t>
    </r>
    <r>
      <rPr>
        <sz val="10"/>
        <color indexed="8"/>
        <rFont val="Calibri"/>
        <family val="2"/>
        <scheme val="minor"/>
      </rPr>
      <t>)</t>
    </r>
  </si>
  <si>
    <t>Moindre des 2: 15% des coûts admissibles ou 
60 000$/heure</t>
  </si>
  <si>
    <t>Long métrage documentaire</t>
  </si>
  <si>
    <r>
      <t>Moindre des 2: 10% des coûts admissibles ou 
60 000$/</t>
    </r>
    <r>
      <rPr>
        <sz val="10"/>
        <rFont val="Calibri"/>
        <family val="2"/>
        <scheme val="minor"/>
      </rPr>
      <t xml:space="preserve"> par projet</t>
    </r>
  </si>
  <si>
    <t>* Variétés et Arts de la scène *</t>
  </si>
  <si>
    <t>Devis inférieur à 750 000 $/heure</t>
  </si>
  <si>
    <t>Devis égal ou supérieur à 750 000 $/heure</t>
  </si>
  <si>
    <t>Arts de la scène (de toutes envergures budgétaires)</t>
  </si>
  <si>
    <t>* Dramatiques *</t>
  </si>
  <si>
    <t>Devis inférieur à 250 000 $/heure</t>
  </si>
  <si>
    <t>Devis égal ou supérieur à 250 000 $ et inférieur à 800 000 $/heure</t>
  </si>
  <si>
    <t>Devis égal ou supérieur à 800 000 $/heure</t>
  </si>
  <si>
    <t>Moindre des 2:
20% des coûts admissibles ou 
195 000 $/heure</t>
  </si>
  <si>
    <t>Téléfilms</t>
  </si>
  <si>
    <t>Contributions maximales :</t>
  </si>
  <si>
    <t>Contribution FMC</t>
  </si>
  <si>
    <r>
      <t xml:space="preserve">Mesures incitatives </t>
    </r>
    <r>
      <rPr>
        <b/>
        <sz val="10"/>
        <color rgb="FFFF0000"/>
        <rFont val="Calibri"/>
        <family val="2"/>
        <scheme val="minor"/>
      </rPr>
      <t>***</t>
    </r>
  </si>
  <si>
    <t>Catégorie du devis</t>
  </si>
  <si>
    <t>Maximum 
FMC</t>
  </si>
  <si>
    <t>Contribution maximale respectée ?</t>
  </si>
  <si>
    <t>Montant excédentaire</t>
  </si>
  <si>
    <t xml:space="preserve">Maximum </t>
  </si>
  <si>
    <t>*Tous les genres sauf dramatiques et animation*</t>
  </si>
  <si>
    <t>* Animation *</t>
  </si>
  <si>
    <t>Toutes les émissions</t>
  </si>
  <si>
    <t>***</t>
  </si>
  <si>
    <t xml:space="preserve">30% des dépenses admissibles (max. 200 000 $) </t>
  </si>
  <si>
    <t>Calculateur de carbone requis?</t>
  </si>
  <si>
    <t>Is the OLMC Owner criteria met?</t>
  </si>
  <si>
    <r>
      <t xml:space="preserve">Enter the </t>
    </r>
    <r>
      <rPr>
        <b/>
        <u/>
        <sz val="10"/>
        <color rgb="FF000000"/>
        <rFont val="Calibri"/>
        <family val="2"/>
        <scheme val="minor"/>
      </rPr>
      <t>English</t>
    </r>
    <r>
      <rPr>
        <b/>
        <sz val="10"/>
        <color rgb="FF000000"/>
        <rFont val="Calibri"/>
        <family val="2"/>
        <scheme val="minor"/>
      </rPr>
      <t xml:space="preserve"> Envelope Allocation from the BEP 
and/or the DEP</t>
    </r>
  </si>
  <si>
    <r>
      <t xml:space="preserve">Required Minimum </t>
    </r>
    <r>
      <rPr>
        <b/>
        <u/>
        <sz val="10"/>
        <color rgb="FF000000"/>
        <rFont val="Calibri"/>
        <family val="2"/>
        <scheme val="minor"/>
      </rPr>
      <t>English</t>
    </r>
    <r>
      <rPr>
        <b/>
        <sz val="10"/>
        <color rgb="FF000000"/>
        <rFont val="Calibri"/>
        <family val="2"/>
        <scheme val="minor"/>
      </rPr>
      <t xml:space="preserve"> Envelope Allocation Amount</t>
    </r>
  </si>
  <si>
    <t>*Reminder, section 3.2 of the Broadcaster Envelope Manual: Use of the Alternative Access Allocation requires an accompanying minimum Eligible Licence Fee of $5,000 in the application</t>
  </si>
  <si>
    <t>*Reminder, section 3.2 of the Distributor Envelope Manual: Use of the Alternative Access Allocation requires an accompanying minimum Eligible Distribution Advance of at least $5,000 in the application</t>
  </si>
  <si>
    <r>
      <t xml:space="preserve">(1): Enter </t>
    </r>
    <r>
      <rPr>
        <b/>
        <i/>
        <u/>
        <sz val="10"/>
        <color rgb="FF1F497D"/>
        <rFont val="Calibri"/>
        <family val="2"/>
      </rPr>
      <t>first</t>
    </r>
    <r>
      <rPr>
        <b/>
        <i/>
        <sz val="10"/>
        <color rgb="FF1F497D"/>
        <rFont val="Calibri"/>
        <family val="2"/>
      </rPr>
      <t xml:space="preserve"> the Canadian Broadcaster's Eligible licence Fee AND the Eligible Distribution Advance for the </t>
    </r>
    <r>
      <rPr>
        <b/>
        <i/>
        <u/>
        <sz val="10"/>
        <color rgb="FF1F497D"/>
        <rFont val="Calibri"/>
        <family val="2"/>
      </rPr>
      <t>Canadian Exploitation Right</t>
    </r>
    <r>
      <rPr>
        <b/>
        <i/>
        <sz val="10"/>
        <color rgb="FF1F497D"/>
        <rFont val="Calibri"/>
        <family val="2"/>
      </rPr>
      <t xml:space="preserve"> from the </t>
    </r>
    <r>
      <rPr>
        <b/>
        <i/>
        <u/>
        <sz val="10"/>
        <color rgb="FF1F497D"/>
        <rFont val="Calibri"/>
        <family val="2"/>
      </rPr>
      <t>non-related</t>
    </r>
    <r>
      <rPr>
        <b/>
        <i/>
        <sz val="10"/>
        <color rgb="FF1F497D"/>
        <rFont val="Calibri"/>
        <family val="2"/>
      </rPr>
      <t xml:space="preserve"> Eligible Canadian Distributor </t>
    </r>
    <r>
      <rPr>
        <b/>
        <i/>
        <u/>
        <sz val="10"/>
        <color rgb="FF1F497D"/>
        <rFont val="Calibri"/>
        <family val="2"/>
      </rPr>
      <t xml:space="preserve">in order of start </t>
    </r>
    <r>
      <rPr>
        <b/>
        <i/>
        <sz val="10"/>
        <color rgb="FF1F497D"/>
        <rFont val="Calibri"/>
        <family val="2"/>
      </rPr>
      <t>of term dates</t>
    </r>
  </si>
  <si>
    <r>
      <t xml:space="preserve">Reminder: </t>
    </r>
    <r>
      <rPr>
        <b/>
        <i/>
        <u/>
        <sz val="9"/>
        <color theme="3"/>
        <rFont val="Calibri"/>
        <family val="2"/>
        <scheme val="minor"/>
      </rPr>
      <t>Pilots</t>
    </r>
    <r>
      <rPr>
        <b/>
        <i/>
        <sz val="9"/>
        <color theme="3"/>
        <rFont val="Calibri"/>
        <family val="2"/>
        <scheme val="minor"/>
      </rPr>
      <t xml:space="preserve"> and </t>
    </r>
    <r>
      <rPr>
        <b/>
        <i/>
        <u/>
        <sz val="9"/>
        <color theme="3"/>
        <rFont val="Calibri"/>
        <family val="2"/>
        <scheme val="minor"/>
      </rPr>
      <t>feature films in the Drama</t>
    </r>
    <r>
      <rPr>
        <b/>
        <i/>
        <sz val="9"/>
        <color theme="3"/>
        <rFont val="Calibri"/>
        <family val="2"/>
        <scheme val="minor"/>
      </rPr>
      <t xml:space="preserve"> programming genre are </t>
    </r>
    <r>
      <rPr>
        <b/>
        <i/>
        <sz val="9"/>
        <color rgb="FFFF0000"/>
        <rFont val="Calibri"/>
        <family val="2"/>
        <scheme val="minor"/>
      </rPr>
      <t>not eligible</t>
    </r>
    <r>
      <rPr>
        <b/>
        <i/>
        <sz val="9"/>
        <color theme="3"/>
        <rFont val="Calibri"/>
        <family val="2"/>
        <scheme val="minor"/>
      </rPr>
      <t xml:space="preserve"> for funding in the Distributor Envelope Program</t>
    </r>
  </si>
  <si>
    <r>
      <t>Eligible Canadian Distributor ("ECD") Territory</t>
    </r>
    <r>
      <rPr>
        <b/>
        <sz val="10"/>
        <color rgb="FF1F497D"/>
        <rFont val="Calibri"/>
        <family val="2"/>
        <scheme val="minor"/>
      </rPr>
      <t xml:space="preserve">
(Choose from list)</t>
    </r>
  </si>
  <si>
    <r>
      <t xml:space="preserve">Is the ECD a related party to the Applicant?
</t>
    </r>
    <r>
      <rPr>
        <b/>
        <sz val="10"/>
        <color rgb="FF1F497D"/>
        <rFont val="Calibri"/>
        <family val="2"/>
        <scheme val="minor"/>
      </rPr>
      <t>(Choose from list)</t>
    </r>
  </si>
  <si>
    <t>MUST be completed for the distributor</t>
  </si>
  <si>
    <r>
      <t xml:space="preserve">CMF  Contribution  </t>
    </r>
    <r>
      <rPr>
        <b/>
        <sz val="10"/>
        <color rgb="FF1F497D"/>
        <rFont val="Calibri"/>
        <family val="2"/>
        <scheme val="minor"/>
      </rPr>
      <t>(BEP and DEP contribution)</t>
    </r>
  </si>
  <si>
    <r>
      <t xml:space="preserve">Canadian
Licence Fee </t>
    </r>
    <r>
      <rPr>
        <b/>
        <sz val="10"/>
        <color rgb="FF1F497D"/>
        <rFont val="Calibri"/>
        <family val="2"/>
        <scheme val="minor"/>
      </rPr>
      <t>(1)*</t>
    </r>
  </si>
  <si>
    <r>
      <t xml:space="preserve">Eligible Distribution Advance </t>
    </r>
    <r>
      <rPr>
        <b/>
        <sz val="10"/>
        <color theme="3"/>
        <rFont val="Calibri"/>
        <family val="2"/>
        <scheme val="minor"/>
      </rPr>
      <t xml:space="preserve"> (1)*</t>
    </r>
  </si>
  <si>
    <r>
      <t xml:space="preserve">International Entity
(Intl. Right)
</t>
    </r>
    <r>
      <rPr>
        <sz val="10"/>
        <rFont val="Calibri"/>
        <family val="2"/>
        <scheme val="minor"/>
      </rPr>
      <t>Children &amp; Youth
Documentary</t>
    </r>
  </si>
  <si>
    <t>Don't delete this row</t>
  </si>
  <si>
    <t>Only an Eligible (i) Licence Fee; (ii) Distribution Advance; OR (iii) Financial Contribution can be entered per row</t>
  </si>
  <si>
    <t>This program requires Eligible Licence Fee(s) from a Canadian Broadcaster(s)</t>
  </si>
  <si>
    <t>Broadcaster and Distributor Maximum Term Calculation:</t>
  </si>
  <si>
    <t>Maximum Terms, Envelope Programs Contributions, Eligible Licence Fees (ELF), Eligible Distribution Advance (EDA) and Eligible Financial Contribution (EFC):</t>
  </si>
  <si>
    <t>Distributor Maximum Term:</t>
  </si>
  <si>
    <t>Maximum Term does not apply to (i) Eligible Canadian Distributors that are a related party to the Applicant; (ii) International Territory Exploitation Right</t>
  </si>
  <si>
    <t>Is the Max. Term applicable to the Distributor?</t>
  </si>
  <si>
    <t>Is the Maximum Term within limits?</t>
  </si>
  <si>
    <t>EDA+Can+Not related</t>
  </si>
  <si>
    <t>Formulas for B56/B59/B60 etc.</t>
  </si>
  <si>
    <t>Broadcaster
(ELF)</t>
  </si>
  <si>
    <t>Distributor
(EDA)</t>
  </si>
  <si>
    <r>
      <t xml:space="preserve">Intl. Entity
(EFC) </t>
    </r>
    <r>
      <rPr>
        <b/>
        <sz val="10"/>
        <color rgb="FF1F497D"/>
        <rFont val="Calibri"/>
        <family val="2"/>
        <scheme val="minor"/>
      </rPr>
      <t>(2)</t>
    </r>
  </si>
  <si>
    <t>Total Eligible Market Commitment</t>
  </si>
  <si>
    <t>% Total Eligible Market Commitment</t>
  </si>
  <si>
    <t>Surplus
No-trigger amounts</t>
  </si>
  <si>
    <t>(2): Only the included allowable EFC will appear in the Intl. Entity column (I)</t>
  </si>
  <si>
    <t>Eligible Market Commitment Thresholds:</t>
  </si>
  <si>
    <t>Allowable</t>
  </si>
  <si>
    <t>Broadcaster &amp; Distributor Envelope Programs</t>
  </si>
  <si>
    <r>
      <rPr>
        <b/>
        <sz val="12"/>
        <rFont val="Calibri"/>
        <family val="2"/>
        <scheme val="minor"/>
      </rPr>
      <t>2026-2027 - Eligible Market Commitment Thresholds, Maximum Contribution and Term Calculation Sheet</t>
    </r>
    <r>
      <rPr>
        <b/>
        <sz val="10"/>
        <rFont val="Calibri"/>
        <family val="2"/>
        <scheme val="minor"/>
      </rPr>
      <t xml:space="preserve">
</t>
    </r>
    <r>
      <rPr>
        <b/>
        <u/>
        <sz val="14"/>
        <rFont val="Calibri"/>
        <family val="2"/>
        <scheme val="minor"/>
      </rPr>
      <t>English-Language</t>
    </r>
    <r>
      <rPr>
        <b/>
        <sz val="14"/>
        <rFont val="Calibri"/>
        <family val="2"/>
        <scheme val="minor"/>
      </rPr>
      <t xml:space="preserve">*  Anglophone Minority Incentive (AMI)
</t>
    </r>
    <r>
      <rPr>
        <b/>
        <sz val="10"/>
        <color rgb="FF0070C0"/>
        <rFont val="Calibri"/>
        <family val="2"/>
        <scheme val="minor"/>
      </rPr>
      <t>*voir onglet séparé au bas pour le PLFMM</t>
    </r>
  </si>
  <si>
    <t>*Rappel, section 3.2 du Guide des enveloppes des télédiffuseurs : pour avoir recours aux enveloppes de l’accès parallèle, il faudra avoir obtenu un droit de diffusion admissible d’au moins 5 000 $ au moment du dépôt de la demande</t>
  </si>
  <si>
    <t>*Rappel, section 3.2 du Guide des enveloppes des distributeurs : pour avoir recours aux enveloppes de l’accès parallèle, il faudra verser une Avance de distribution admissible d’au moins 5 000 $ au moment du dépôt de la demande</t>
  </si>
  <si>
    <r>
      <t xml:space="preserve">(1) : Entrez </t>
    </r>
    <r>
      <rPr>
        <b/>
        <i/>
        <u/>
        <sz val="10"/>
        <color theme="3"/>
        <rFont val="Calibri"/>
        <family val="2"/>
        <scheme val="minor"/>
      </rPr>
      <t>en premier</t>
    </r>
    <r>
      <rPr>
        <b/>
        <i/>
        <sz val="10"/>
        <color theme="3"/>
        <rFont val="Calibri"/>
        <family val="2"/>
        <scheme val="minor"/>
      </rPr>
      <t xml:space="preserve"> et par </t>
    </r>
    <r>
      <rPr>
        <b/>
        <i/>
        <u/>
        <sz val="10"/>
        <color theme="3"/>
        <rFont val="Calibri"/>
        <family val="2"/>
        <scheme val="minor"/>
      </rPr>
      <t>ordre croissant</t>
    </r>
    <r>
      <rPr>
        <b/>
        <i/>
        <sz val="10"/>
        <color theme="3"/>
        <rFont val="Calibri"/>
        <family val="2"/>
        <scheme val="minor"/>
      </rPr>
      <t xml:space="preserve"> de début de la période des droits, les Droits de diffusion admissibles ET l'Avance de distribution admissible pour les </t>
    </r>
    <r>
      <rPr>
        <b/>
        <i/>
        <u/>
        <sz val="10"/>
        <color theme="3"/>
        <rFont val="Calibri"/>
        <family val="2"/>
        <scheme val="minor"/>
      </rPr>
      <t xml:space="preserve">droits d'exploitation au Canada </t>
    </r>
    <r>
      <rPr>
        <b/>
        <i/>
        <sz val="10"/>
        <color theme="3"/>
        <rFont val="Calibri"/>
        <family val="2"/>
        <scheme val="minor"/>
      </rPr>
      <t>du Distributeur canadien admissible</t>
    </r>
    <r>
      <rPr>
        <b/>
        <i/>
        <u/>
        <sz val="10"/>
        <color theme="3"/>
        <rFont val="Calibri"/>
        <family val="2"/>
        <scheme val="minor"/>
      </rPr>
      <t xml:space="preserve"> non apparenté</t>
    </r>
  </si>
  <si>
    <r>
      <t>Rappel: les</t>
    </r>
    <r>
      <rPr>
        <b/>
        <i/>
        <u/>
        <sz val="9"/>
        <color theme="3"/>
        <rFont val="Calibri"/>
        <family val="2"/>
        <scheme val="minor"/>
      </rPr>
      <t xml:space="preserve"> pilotes</t>
    </r>
    <r>
      <rPr>
        <b/>
        <i/>
        <sz val="9"/>
        <color theme="3"/>
        <rFont val="Calibri"/>
        <family val="2"/>
        <scheme val="minor"/>
      </rPr>
      <t xml:space="preserve"> et</t>
    </r>
    <r>
      <rPr>
        <b/>
        <i/>
        <u/>
        <sz val="9"/>
        <color theme="3"/>
        <rFont val="Calibri"/>
        <family val="2"/>
        <scheme val="minor"/>
      </rPr>
      <t xml:space="preserve"> les longs métrages dans le genre dramatique</t>
    </r>
    <r>
      <rPr>
        <b/>
        <i/>
        <sz val="9"/>
        <color theme="3"/>
        <rFont val="Calibri"/>
        <family val="2"/>
        <scheme val="minor"/>
      </rPr>
      <t xml:space="preserve"> </t>
    </r>
    <r>
      <rPr>
        <b/>
        <i/>
        <sz val="9"/>
        <color rgb="FFFF0000"/>
        <rFont val="Calibri"/>
        <family val="2"/>
        <scheme val="minor"/>
      </rPr>
      <t xml:space="preserve">ne sont pas admissibles </t>
    </r>
    <r>
      <rPr>
        <b/>
        <i/>
        <sz val="9"/>
        <color rgb="FF1F497D"/>
        <rFont val="Calibri"/>
        <family val="2"/>
        <scheme val="minor"/>
      </rPr>
      <t>au Programme des enveloppes des distributeurs</t>
    </r>
  </si>
  <si>
    <r>
      <t>Durée des épisodes</t>
    </r>
    <r>
      <rPr>
        <b/>
        <sz val="8"/>
        <rFont val="Calibri"/>
        <family val="2"/>
        <scheme val="minor"/>
      </rPr>
      <t xml:space="preserve">  (en min.)</t>
    </r>
  </si>
  <si>
    <r>
      <t xml:space="preserve">Indiquez le montant d’enveloppe de </t>
    </r>
    <r>
      <rPr>
        <b/>
        <u/>
        <sz val="10"/>
        <color rgb="FF000000"/>
        <rFont val="Calibri"/>
        <family val="2"/>
        <scheme val="minor"/>
      </rPr>
      <t>langue française</t>
    </r>
    <r>
      <rPr>
        <b/>
        <sz val="10"/>
        <color rgb="FF000000"/>
        <rFont val="Calibri"/>
        <family val="2"/>
        <scheme val="minor"/>
      </rPr>
      <t xml:space="preserve"> du Programme des télédiffuseurs et/ou du Programme des distributeurs</t>
    </r>
  </si>
  <si>
    <r>
      <t>Territoire du Distributeur</t>
    </r>
    <r>
      <rPr>
        <b/>
        <sz val="10"/>
        <color rgb="FF1F497D"/>
        <rFont val="Calibri"/>
        <family val="2"/>
        <scheme val="minor"/>
      </rPr>
      <t xml:space="preserve">
</t>
    </r>
    <r>
      <rPr>
        <b/>
        <sz val="9"/>
        <color rgb="FF1F497D"/>
        <rFont val="Calibri"/>
        <family val="2"/>
        <scheme val="minor"/>
      </rPr>
      <t>(SVP Utilisez la liste déroulante)</t>
    </r>
  </si>
  <si>
    <r>
      <t xml:space="preserve">Le Distributeur est-il apparenté au Requérant?
</t>
    </r>
    <r>
      <rPr>
        <b/>
        <sz val="10"/>
        <color rgb="FF1F497D"/>
        <rFont val="Calibri"/>
        <family val="2"/>
        <scheme val="minor"/>
      </rPr>
      <t>(SVP Utilisez la liste déroulante)</t>
    </r>
  </si>
  <si>
    <t>Doit être complété pour les
distributeurs</t>
  </si>
  <si>
    <t>Ne pas supprimer cette colonne</t>
  </si>
  <si>
    <t>Un seul montant admissible pour (i) l'Avance de distribution (ii) les Droits de diffusion, ou (iii) l'Engagement financier peut être entré par ligne</t>
  </si>
  <si>
    <t>Les demandes dans ce programme sont tenues d’inclure une avance de distribution admissible d’un Distributeur canadien admissible</t>
  </si>
  <si>
    <t>Montant permis</t>
  </si>
  <si>
    <t>Canadien</t>
  </si>
  <si>
    <t>International</t>
  </si>
  <si>
    <t>Télédiffuseur
(DDA)</t>
  </si>
  <si>
    <t>Distributeur
(ADA)</t>
  </si>
  <si>
    <r>
      <t xml:space="preserve">Entité internationale (EFA) </t>
    </r>
    <r>
      <rPr>
        <b/>
        <sz val="10"/>
        <color rgb="FF1F497D"/>
        <rFont val="Calibri"/>
        <family val="2"/>
        <scheme val="minor"/>
      </rPr>
      <t>(2)</t>
    </r>
  </si>
  <si>
    <t>Total des engagements admissibles du marché</t>
  </si>
  <si>
    <t xml:space="preserve"> % sur le devis des
engagements admissibles du marché</t>
  </si>
  <si>
    <r>
      <t xml:space="preserve">Nom du télédiffuseur </t>
    </r>
    <r>
      <rPr>
        <b/>
        <sz val="10"/>
        <color rgb="FF1F497D"/>
        <rFont val="Calibri"/>
        <family val="2"/>
        <scheme val="minor"/>
      </rPr>
      <t>(1)</t>
    </r>
    <r>
      <rPr>
        <b/>
        <sz val="10"/>
        <rFont val="Calibri"/>
        <family val="2"/>
        <scheme val="minor"/>
      </rPr>
      <t xml:space="preserve">
ou Distributeur canadien admissible
ou Entité internationale admissible</t>
    </r>
  </si>
  <si>
    <r>
      <t xml:space="preserve">Contribution FMC -
</t>
    </r>
    <r>
      <rPr>
        <b/>
        <sz val="8"/>
        <color rgb="FF1F497D"/>
        <rFont val="Calibri"/>
        <family val="2"/>
        <scheme val="minor"/>
      </rPr>
      <t>Env. des télédiffuseurs et des distributeurs</t>
    </r>
  </si>
  <si>
    <r>
      <t xml:space="preserve">Droits de diffusion admissibles </t>
    </r>
    <r>
      <rPr>
        <b/>
        <sz val="10"/>
        <color theme="3"/>
        <rFont val="Calibri"/>
        <family val="2"/>
        <scheme val="minor"/>
      </rPr>
      <t>(1)</t>
    </r>
    <r>
      <rPr>
        <b/>
        <sz val="10"/>
        <rFont val="Calibri"/>
        <family val="2"/>
        <scheme val="minor"/>
      </rPr>
      <t>*</t>
    </r>
  </si>
  <si>
    <r>
      <t>Avance de distribution admissible</t>
    </r>
    <r>
      <rPr>
        <b/>
        <sz val="10"/>
        <color theme="3"/>
        <rFont val="Calibri"/>
        <family val="2"/>
        <scheme val="minor"/>
      </rPr>
      <t xml:space="preserve"> (1)</t>
    </r>
    <r>
      <rPr>
        <b/>
        <sz val="10"/>
        <rFont val="Calibri"/>
        <family val="2"/>
        <scheme val="minor"/>
      </rPr>
      <t>*</t>
    </r>
  </si>
  <si>
    <r>
      <t xml:space="preserve">Date de début de la période </t>
    </r>
    <r>
      <rPr>
        <b/>
        <sz val="10"/>
        <color rgb="FF1F497D"/>
        <rFont val="Calibri"/>
        <family val="2"/>
        <scheme val="minor"/>
      </rPr>
      <t>(1)</t>
    </r>
  </si>
  <si>
    <r>
      <t xml:space="preserve">Entité internationale
(droits int.)
</t>
    </r>
    <r>
      <rPr>
        <sz val="10"/>
        <rFont val="Calibri"/>
        <family val="2"/>
        <scheme val="minor"/>
      </rPr>
      <t>Enfants et jeunes Documentaires</t>
    </r>
  </si>
  <si>
    <t>Exigence seuil pour les engagements admissibles du marché :</t>
  </si>
  <si>
    <t>Montant admissible de la participation au capital</t>
  </si>
  <si>
    <t>Contribution  FMC admissible</t>
  </si>
  <si>
    <t>Durées maximales, contributions des programmes des enveloppes, Droits de diffusion admissibles (« DDA ») et Avance de distribution admissible (« ADA ») et Engagement financier admissible (« EFA ») :</t>
  </si>
  <si>
    <t>(2): Seul l'EFA permis apparaîtra dans la colonne pour l’Entité internationale (I)</t>
  </si>
  <si>
    <t>Remarques :</t>
  </si>
  <si>
    <t>Durée maximale des droits acquis par le distributeur</t>
  </si>
  <si>
    <t>La durée maximale ne s’applique pas (i) à un Distributeur canadien admissible apparenté au Requérant; (ii) au droit d’exploitation à l’international</t>
  </si>
  <si>
    <t>La durée maximale, est-elle applicable?</t>
  </si>
  <si>
    <t>La durée maximale, est-elle respectée?</t>
  </si>
  <si>
    <t>Calcul de la durée maximale des droits de diffusion et des avances de distribution admissibles :</t>
  </si>
  <si>
    <t>Durée
(en mois)</t>
  </si>
  <si>
    <r>
      <t xml:space="preserve">Programme des enveloppes 
</t>
    </r>
    <r>
      <rPr>
        <b/>
        <u/>
        <sz val="10"/>
        <color rgb="FF000000"/>
        <rFont val="Calibri"/>
        <family val="2"/>
        <scheme val="minor"/>
      </rPr>
      <t>des télédiffuseurs</t>
    </r>
    <r>
      <rPr>
        <b/>
        <sz val="10"/>
        <color indexed="8"/>
        <rFont val="Calibri"/>
        <family val="2"/>
        <scheme val="minor"/>
      </rPr>
      <t xml:space="preserve"> et </t>
    </r>
    <r>
      <rPr>
        <b/>
        <u/>
        <sz val="10"/>
        <color rgb="FF000000"/>
        <rFont val="Calibri"/>
        <family val="2"/>
        <scheme val="minor"/>
      </rPr>
      <t>des distributeurs</t>
    </r>
  </si>
  <si>
    <t>Maximum des
Enveloppes</t>
  </si>
  <si>
    <t>Maximum 
PLFMM</t>
  </si>
  <si>
    <t>Contribution maximale respectée?</t>
  </si>
  <si>
    <t>Contribution maximale 
respectée?</t>
  </si>
  <si>
    <r>
      <rPr>
        <b/>
        <sz val="12"/>
        <rFont val="Calibri"/>
        <family val="2"/>
        <scheme val="minor"/>
      </rPr>
      <t>2026-2027 - Feuille de calcul des exigences seuil pour les engagements admissibles du marché, de la contribution et durée maximale</t>
    </r>
    <r>
      <rPr>
        <b/>
        <sz val="14"/>
        <rFont val="Calibri"/>
        <family val="2"/>
        <scheme val="minor"/>
      </rPr>
      <t xml:space="preserve">
• Programme pour les Projets de Langue Française en Milieu Minoritaire (PLFMM) • </t>
    </r>
  </si>
  <si>
    <t>49% ou max 550 000 $ 
84% si combiné</t>
  </si>
  <si>
    <t>49% ou max 1 200 000 $ 
84% si combiné</t>
  </si>
  <si>
    <t>49% ou max 750 000 $ 
84% si combiné</t>
  </si>
  <si>
    <r>
      <t xml:space="preserve">Allocation minimale requise d’enveloppe de </t>
    </r>
    <r>
      <rPr>
        <b/>
        <u/>
        <sz val="10"/>
        <color rgb="FF000000"/>
        <rFont val="Calibri"/>
        <family val="2"/>
        <scheme val="minor"/>
      </rPr>
      <t>langue française</t>
    </r>
    <r>
      <rPr>
        <b/>
        <sz val="10"/>
        <color rgb="FF000000"/>
        <rFont val="Calibri"/>
        <family val="2"/>
        <scheme val="minor"/>
      </rPr>
      <t xml:space="preserve"> </t>
    </r>
  </si>
  <si>
    <r>
      <t>Montant de l'allocation d'enveloppe excédentaire/(</t>
    </r>
    <r>
      <rPr>
        <b/>
        <sz val="10"/>
        <color rgb="FFFF0000"/>
        <rFont val="Calibri"/>
        <family val="2"/>
        <scheme val="minor"/>
      </rPr>
      <t>insufissant</t>
    </r>
    <r>
      <rPr>
        <b/>
        <sz val="10"/>
        <color rgb="FF000000"/>
        <rFont val="Calibri"/>
        <family val="2"/>
        <scheme val="minor"/>
      </rPr>
      <t>) :</t>
    </r>
  </si>
  <si>
    <r>
      <t>Surplus/(</t>
    </r>
    <r>
      <rPr>
        <b/>
        <sz val="10"/>
        <color rgb="FFFF0000"/>
        <rFont val="Calibri"/>
        <family val="2"/>
        <scheme val="minor"/>
      </rPr>
      <t>Insufficient</t>
    </r>
    <r>
      <rPr>
        <b/>
        <sz val="10"/>
        <color rgb="FF000000"/>
        <rFont val="Calibri"/>
        <family val="2"/>
        <scheme val="minor"/>
      </rPr>
      <t xml:space="preserve">) English Envelope Allocation amount </t>
    </r>
  </si>
  <si>
    <t>Number of Episodes</t>
  </si>
  <si>
    <t>Canadian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</si>
</sst>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5" formatCode="#,##0\ &quot;$&quot;_);\(#,##0\ &quot;$&quot;\)"/>
    <numFmt numFmtId="7" formatCode="#,##0.00\ &quot;$&quot;_);\(#,##0.00\ &quot;$&quot;\)"/>
    <numFmt numFmtId="44" formatCode="_ * #,##0.00_)\ &quot;$&quot;_ ;_ * \(#,##0.00\)\ &quot;$&quot;_ ;_ * &quot;-&quot;??_)\ &quot;$&quot;_ ;_ @_ "/>
    <numFmt numFmtId="164" formatCode="_-* #,##0_-;\-* #,##0_-;_-* &quot;-&quot;_-;_-@_-"/>
    <numFmt numFmtId="165" formatCode="_-&quot;$&quot;* #,##0_-;\-&quot;$&quot;* #,##0_-;_-&quot;$&quot;* &quot;-&quot;_-;_-@_-"/>
    <numFmt numFmtId="166" formatCode="&quot;$&quot;#,##0.00_);\(&quot;$&quot;#,##0.00\)"/>
    <numFmt numFmtId="167" formatCode="[$-409]d\-mmm\-yyyy;@"/>
    <numFmt numFmtId="168" formatCode=";;;"/>
    <numFmt numFmtId="169" formatCode="&quot;$&quot;#,##0"/>
    <numFmt numFmtId="170" formatCode="yyyy\-mm\-dd;@"/>
    <numFmt numFmtId="171" formatCode="[$$-1009]#,##0"/>
    <numFmt numFmtId="172" formatCode="#,##0.0_);\(#,##0.0\)"/>
    <numFmt numFmtId="173" formatCode="[$$-409]#,##0_);\([$$-409]#,##0\)"/>
    <numFmt numFmtId="174" formatCode="[$-40C]d\-mmm\-yyyy;@"/>
    <numFmt numFmtId="175" formatCode="#,##0\ [$$-C0C]_);\(#,##0\ [$$-C0C]\)"/>
    <numFmt numFmtId="176" formatCode="#,##0.00\ [$$-C0C]_);\(#,##0.00\ [$$-C0C]\)"/>
    <numFmt numFmtId="177" formatCode="_-&quot;$&quot;* #,##0.00_-;\-&quot;$&quot;* #,##0.00_-;_-&quot;$&quot;* &quot;-&quot;??_-;_-@_-"/>
    <numFmt numFmtId="178" formatCode="#,##0\ &quot;$&quot;"/>
    <numFmt numFmtId="179" formatCode="_ * #,##0_)\ &quot;$&quot;_ ;_ * \(#,##0\)\ &quot;$&quot;_ ;_ * &quot;-&quot;??_)\ &quot;$&quot;_ ;_ @_ "/>
    <numFmt numFmtId="180" formatCode="#,##0\ [$$-C0C]"/>
    <numFmt numFmtId="181" formatCode="_ * #,##0_)\ [$$-C0C]_ ;_ * \(#,##0\)\ [$$-C0C]_ ;_ * &quot;-&quot;??_)\ [$$-C0C]_ ;_ @_ "/>
    <numFmt numFmtId="182" formatCode="[$$-1009]#,##0;[Red]\-[$$-1009]#,##0"/>
    <numFmt numFmtId="183" formatCode="#,##0\ [$$-C0C]_);[Red]\(#,##0\ [$$-C0C]\)"/>
  </numFmts>
  <fonts count="93" x14ac:knownFonts="1">
    <font>
      <sz val="12"/>
      <name val="Arial"/>
    </font>
    <font>
      <sz val="12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i/>
      <sz val="9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b/>
      <i/>
      <sz val="10"/>
      <color rgb="FFFF0000"/>
      <name val="Arial"/>
      <family val="2"/>
    </font>
    <font>
      <b/>
      <i/>
      <sz val="11"/>
      <color rgb="FFFF0000"/>
      <name val="Arial"/>
      <family val="2"/>
    </font>
    <font>
      <sz val="11"/>
      <color rgb="FFFF0000"/>
      <name val="Arial"/>
      <family val="2"/>
    </font>
    <font>
      <b/>
      <sz val="8.5"/>
      <color rgb="FFFF0000"/>
      <name val="Arial"/>
      <family val="2"/>
    </font>
    <font>
      <sz val="8.5"/>
      <color rgb="FFFF000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color indexed="81"/>
      <name val="Tahoma"/>
      <family val="2"/>
    </font>
    <font>
      <b/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indexed="8"/>
      <name val="Calibri"/>
      <family val="2"/>
      <scheme val="minor"/>
    </font>
    <font>
      <u/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u/>
      <sz val="10"/>
      <color indexed="8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u/>
      <sz val="14"/>
      <name val="Calibri"/>
      <family val="2"/>
      <scheme val="minor"/>
    </font>
    <font>
      <sz val="12"/>
      <name val="Calibri"/>
      <family val="2"/>
      <scheme val="minor"/>
    </font>
    <font>
      <b/>
      <i/>
      <sz val="10"/>
      <color rgb="FF92D050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9"/>
      <color indexed="8"/>
      <name val="Calibri"/>
      <family val="2"/>
      <scheme val="minor"/>
    </font>
    <font>
      <b/>
      <i/>
      <u/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i/>
      <sz val="10"/>
      <color theme="3"/>
      <name val="Calibri"/>
      <family val="2"/>
      <scheme val="minor"/>
    </font>
    <font>
      <sz val="9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sz val="12"/>
      <color theme="3"/>
      <name val="Arial"/>
      <family val="2"/>
    </font>
    <font>
      <b/>
      <sz val="10"/>
      <color theme="3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rgb="FF1F497D"/>
      <name val="Calibri"/>
      <family val="2"/>
      <scheme val="minor"/>
    </font>
    <font>
      <sz val="9.5"/>
      <name val="Arial"/>
      <family val="2"/>
    </font>
    <font>
      <b/>
      <sz val="10"/>
      <color rgb="FF1F497D"/>
      <name val="Calibri"/>
      <family val="2"/>
      <scheme val="minor"/>
    </font>
    <font>
      <b/>
      <i/>
      <sz val="10"/>
      <color rgb="FF1F497D"/>
      <name val="Calibri"/>
      <family val="2"/>
    </font>
    <font>
      <sz val="8"/>
      <name val="Arial"/>
      <family val="2"/>
    </font>
    <font>
      <b/>
      <sz val="12"/>
      <color rgb="FFFF0000"/>
      <name val="Calibri"/>
      <family val="2"/>
      <scheme val="minor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3"/>
      <name val="Calibri"/>
      <family val="2"/>
      <scheme val="minor"/>
    </font>
    <font>
      <b/>
      <i/>
      <u/>
      <sz val="10"/>
      <color rgb="FF1F497D"/>
      <name val="Calibri"/>
      <family val="2"/>
    </font>
    <font>
      <b/>
      <i/>
      <u/>
      <sz val="9"/>
      <color theme="3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i/>
      <u/>
      <sz val="10"/>
      <color theme="3"/>
      <name val="Calibri"/>
      <family val="2"/>
      <scheme val="minor"/>
    </font>
    <font>
      <b/>
      <i/>
      <sz val="9"/>
      <color rgb="FF1F497D"/>
      <name val="Calibri"/>
      <family val="2"/>
      <scheme val="minor"/>
    </font>
    <font>
      <b/>
      <sz val="9"/>
      <color rgb="FF1F497D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1F497D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4750C"/>
        <bgColor indexed="64"/>
      </patternFill>
    </fill>
    <fill>
      <patternFill patternType="solid">
        <fgColor rgb="FFF8A15A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E1EB8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659">
    <xf numFmtId="0" fontId="0" fillId="0" borderId="0" xfId="0"/>
    <xf numFmtId="165" fontId="9" fillId="0" borderId="0" xfId="2" applyFont="1" applyFill="1" applyBorder="1" applyAlignment="1" applyProtection="1">
      <alignment horizontal="left" vertical="center" wrapText="1"/>
    </xf>
    <xf numFmtId="165" fontId="17" fillId="0" borderId="0" xfId="2" applyFont="1" applyFill="1" applyBorder="1" applyAlignment="1" applyProtection="1">
      <alignment vertical="center" wrapText="1"/>
    </xf>
    <xf numFmtId="166" fontId="3" fillId="0" borderId="0" xfId="2" applyNumberFormat="1" applyFont="1" applyFill="1" applyBorder="1" applyAlignment="1" applyProtection="1">
      <alignment horizontal="center" vertical="center" wrapText="1"/>
    </xf>
    <xf numFmtId="165" fontId="3" fillId="0" borderId="0" xfId="2" applyFont="1" applyFill="1" applyBorder="1" applyAlignment="1" applyProtection="1">
      <alignment horizontal="center" vertical="center" wrapText="1"/>
    </xf>
    <xf numFmtId="37" fontId="3" fillId="0" borderId="0" xfId="2" applyNumberFormat="1" applyFont="1" applyFill="1" applyBorder="1" applyAlignment="1" applyProtection="1">
      <alignment horizontal="center" vertical="center" wrapText="1"/>
    </xf>
    <xf numFmtId="166" fontId="21" fillId="0" borderId="0" xfId="2" applyNumberFormat="1" applyFont="1" applyFill="1" applyBorder="1" applyAlignment="1" applyProtection="1">
      <alignment horizontal="center" vertical="center" wrapText="1"/>
    </xf>
    <xf numFmtId="165" fontId="22" fillId="0" borderId="0" xfId="2" applyFont="1" applyFill="1" applyBorder="1" applyAlignment="1" applyProtection="1">
      <alignment horizontal="center" vertical="center" wrapText="1"/>
    </xf>
    <xf numFmtId="165" fontId="20" fillId="0" borderId="4" xfId="2" applyFont="1" applyFill="1" applyBorder="1" applyAlignment="1" applyProtection="1">
      <alignment vertical="center" wrapText="1"/>
    </xf>
    <xf numFmtId="165" fontId="10" fillId="0" borderId="0" xfId="2" applyFont="1" applyFill="1" applyBorder="1" applyAlignment="1" applyProtection="1">
      <alignment horizontal="left" vertical="center"/>
    </xf>
    <xf numFmtId="9" fontId="26" fillId="3" borderId="5" xfId="3" applyFont="1" applyFill="1" applyBorder="1" applyAlignment="1" applyProtection="1">
      <alignment horizontal="center" vertical="center" wrapText="1"/>
    </xf>
    <xf numFmtId="173" fontId="27" fillId="5" borderId="5" xfId="2" applyNumberFormat="1" applyFont="1" applyFill="1" applyBorder="1" applyAlignment="1" applyProtection="1">
      <alignment horizontal="center" vertical="center" wrapText="1"/>
      <protection locked="0"/>
    </xf>
    <xf numFmtId="37" fontId="27" fillId="2" borderId="5" xfId="2" applyNumberFormat="1" applyFont="1" applyFill="1" applyBorder="1" applyAlignment="1" applyProtection="1">
      <alignment horizontal="center" vertical="center" wrapText="1"/>
      <protection locked="0"/>
    </xf>
    <xf numFmtId="172" fontId="27" fillId="3" borderId="5" xfId="2" applyNumberFormat="1" applyFont="1" applyFill="1" applyBorder="1" applyAlignment="1" applyProtection="1">
      <alignment horizontal="center" vertical="center" wrapText="1"/>
    </xf>
    <xf numFmtId="49" fontId="27" fillId="2" borderId="5" xfId="2" applyNumberFormat="1" applyFont="1" applyFill="1" applyBorder="1" applyAlignment="1" applyProtection="1">
      <alignment horizontal="center" vertical="center" wrapText="1"/>
      <protection locked="0"/>
    </xf>
    <xf numFmtId="171" fontId="26" fillId="0" borderId="19" xfId="2" applyNumberFormat="1" applyFont="1" applyFill="1" applyBorder="1" applyAlignment="1" applyProtection="1">
      <alignment horizontal="center" vertical="center" wrapText="1"/>
    </xf>
    <xf numFmtId="171" fontId="26" fillId="0" borderId="19" xfId="2" applyNumberFormat="1" applyFont="1" applyFill="1" applyBorder="1" applyAlignment="1" applyProtection="1">
      <alignment horizontal="right" vertical="center" wrapText="1"/>
    </xf>
    <xf numFmtId="0" fontId="26" fillId="16" borderId="5" xfId="0" applyFont="1" applyFill="1" applyBorder="1" applyAlignment="1">
      <alignment horizontal="center" vertical="center" wrapText="1"/>
    </xf>
    <xf numFmtId="5" fontId="27" fillId="2" borderId="5" xfId="2" applyNumberFormat="1" applyFont="1" applyFill="1" applyBorder="1" applyAlignment="1" applyProtection="1">
      <alignment horizontal="center" vertical="center" wrapText="1"/>
      <protection locked="0"/>
    </xf>
    <xf numFmtId="49" fontId="30" fillId="2" borderId="5" xfId="2" applyNumberFormat="1" applyFont="1" applyFill="1" applyBorder="1" applyAlignment="1" applyProtection="1">
      <alignment horizontal="center" vertical="center" wrapText="1"/>
      <protection locked="0"/>
    </xf>
    <xf numFmtId="5" fontId="27" fillId="2" borderId="5" xfId="2" applyNumberFormat="1" applyFont="1" applyFill="1" applyBorder="1" applyAlignment="1" applyProtection="1">
      <alignment vertical="center" wrapText="1"/>
      <protection locked="0"/>
    </xf>
    <xf numFmtId="173" fontId="26" fillId="0" borderId="0" xfId="2" applyNumberFormat="1" applyFont="1" applyFill="1" applyBorder="1" applyAlignment="1" applyProtection="1">
      <alignment horizontal="right" vertical="center" wrapText="1"/>
    </xf>
    <xf numFmtId="165" fontId="5" fillId="0" borderId="0" xfId="2" applyFont="1" applyFill="1" applyBorder="1" applyAlignment="1" applyProtection="1">
      <alignment horizontal="right" vertical="center" wrapText="1"/>
    </xf>
    <xf numFmtId="164" fontId="5" fillId="0" borderId="0" xfId="1" applyFont="1" applyFill="1" applyBorder="1" applyAlignment="1" applyProtection="1">
      <alignment vertical="center" wrapText="1"/>
    </xf>
    <xf numFmtId="165" fontId="5" fillId="0" borderId="0" xfId="2" applyFont="1" applyFill="1" applyBorder="1" applyAlignment="1" applyProtection="1">
      <alignment vertical="center" wrapText="1"/>
    </xf>
    <xf numFmtId="166" fontId="5" fillId="0" borderId="0" xfId="2" applyNumberFormat="1" applyFont="1" applyFill="1" applyBorder="1" applyAlignment="1" applyProtection="1">
      <alignment horizontal="center" vertical="center" wrapText="1"/>
    </xf>
    <xf numFmtId="165" fontId="7" fillId="0" borderId="0" xfId="2" applyFont="1" applyFill="1" applyBorder="1" applyAlignment="1" applyProtection="1">
      <alignment horizontal="center" vertical="center" wrapText="1"/>
    </xf>
    <xf numFmtId="9" fontId="27" fillId="3" borderId="6" xfId="3" applyFont="1" applyFill="1" applyBorder="1" applyAlignment="1" applyProtection="1">
      <alignment horizontal="center" vertical="center" wrapText="1"/>
    </xf>
    <xf numFmtId="165" fontId="52" fillId="0" borderId="0" xfId="2" applyFont="1" applyFill="1" applyBorder="1" applyAlignment="1" applyProtection="1">
      <alignment vertical="center" wrapText="1"/>
    </xf>
    <xf numFmtId="179" fontId="27" fillId="3" borderId="5" xfId="6" applyNumberFormat="1" applyFont="1" applyFill="1" applyBorder="1" applyAlignment="1" applyProtection="1">
      <alignment horizontal="center" vertical="center" wrapText="1"/>
    </xf>
    <xf numFmtId="5" fontId="36" fillId="3" borderId="5" xfId="2" applyNumberFormat="1" applyFont="1" applyFill="1" applyBorder="1" applyAlignment="1" applyProtection="1">
      <alignment horizontal="center" vertical="center" wrapText="1"/>
    </xf>
    <xf numFmtId="5" fontId="30" fillId="2" borderId="5" xfId="2" applyNumberFormat="1" applyFont="1" applyFill="1" applyBorder="1" applyAlignment="1" applyProtection="1">
      <alignment horizontal="right" vertical="center" wrapText="1"/>
      <protection locked="0"/>
    </xf>
    <xf numFmtId="179" fontId="30" fillId="3" borderId="21" xfId="6" applyNumberFormat="1" applyFont="1" applyFill="1" applyBorder="1" applyAlignment="1" applyProtection="1">
      <alignment horizontal="center" vertical="center" wrapText="1"/>
    </xf>
    <xf numFmtId="178" fontId="33" fillId="0" borderId="0" xfId="3" applyNumberFormat="1" applyFont="1" applyFill="1" applyBorder="1" applyAlignment="1" applyProtection="1">
      <alignment horizontal="center" vertical="center" wrapText="1"/>
    </xf>
    <xf numFmtId="165" fontId="46" fillId="0" borderId="4" xfId="2" applyFont="1" applyFill="1" applyBorder="1" applyAlignment="1" applyProtection="1">
      <alignment vertical="center" wrapText="1"/>
    </xf>
    <xf numFmtId="10" fontId="30" fillId="2" borderId="5" xfId="3" applyNumberFormat="1" applyFont="1" applyFill="1" applyBorder="1" applyAlignment="1" applyProtection="1">
      <alignment horizontal="right" vertical="center" wrapText="1"/>
      <protection locked="0"/>
    </xf>
    <xf numFmtId="49" fontId="63" fillId="0" borderId="0" xfId="2" applyNumberFormat="1" applyFont="1" applyAlignment="1">
      <alignment horizontal="left" vertical="center"/>
    </xf>
    <xf numFmtId="0" fontId="5" fillId="0" borderId="0" xfId="4" applyFont="1" applyAlignment="1">
      <alignment horizontal="right" vertical="center" wrapText="1"/>
    </xf>
    <xf numFmtId="0" fontId="18" fillId="0" borderId="0" xfId="4" applyFont="1" applyAlignment="1">
      <alignment vertical="center" wrapText="1"/>
    </xf>
    <xf numFmtId="0" fontId="1" fillId="0" borderId="0" xfId="4" applyAlignment="1">
      <alignment vertical="center"/>
    </xf>
    <xf numFmtId="0" fontId="1" fillId="0" borderId="0" xfId="4"/>
    <xf numFmtId="0" fontId="3" fillId="0" borderId="0" xfId="4" applyFont="1" applyAlignment="1">
      <alignment vertical="center"/>
    </xf>
    <xf numFmtId="0" fontId="63" fillId="0" borderId="0" xfId="4" applyFont="1" applyAlignment="1">
      <alignment horizontal="left" vertical="center"/>
    </xf>
    <xf numFmtId="0" fontId="71" fillId="0" borderId="0" xfId="4" applyFont="1" applyAlignment="1">
      <alignment vertical="center"/>
    </xf>
    <xf numFmtId="0" fontId="5" fillId="0" borderId="0" xfId="4" applyFont="1" applyAlignment="1">
      <alignment vertical="center"/>
    </xf>
    <xf numFmtId="0" fontId="15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0" fontId="26" fillId="16" borderId="5" xfId="4" applyFont="1" applyFill="1" applyBorder="1" applyAlignment="1">
      <alignment horizontal="center" vertical="center" wrapText="1"/>
    </xf>
    <xf numFmtId="0" fontId="26" fillId="15" borderId="5" xfId="4" applyFont="1" applyFill="1" applyBorder="1" applyAlignment="1">
      <alignment horizontal="center" vertical="center" wrapText="1"/>
    </xf>
    <xf numFmtId="173" fontId="27" fillId="5" borderId="5" xfId="2" applyNumberFormat="1" applyFont="1" applyFill="1" applyBorder="1" applyAlignment="1" applyProtection="1">
      <alignment horizontal="right" vertical="center" shrinkToFit="1"/>
      <protection locked="0"/>
    </xf>
    <xf numFmtId="173" fontId="27" fillId="2" borderId="5" xfId="2" applyNumberFormat="1" applyFont="1" applyFill="1" applyBorder="1" applyAlignment="1" applyProtection="1">
      <alignment vertical="center" shrinkToFit="1"/>
      <protection locked="0"/>
    </xf>
    <xf numFmtId="173" fontId="27" fillId="2" borderId="12" xfId="2" applyNumberFormat="1" applyFont="1" applyFill="1" applyBorder="1" applyAlignment="1" applyProtection="1">
      <alignment vertical="center" shrinkToFit="1"/>
      <protection locked="0"/>
    </xf>
    <xf numFmtId="174" fontId="30" fillId="2" borderId="5" xfId="4" applyNumberFormat="1" applyFont="1" applyFill="1" applyBorder="1" applyAlignment="1" applyProtection="1">
      <alignment horizontal="center" vertical="center" shrinkToFit="1"/>
      <protection locked="0"/>
    </xf>
    <xf numFmtId="167" fontId="27" fillId="2" borderId="5" xfId="4" applyNumberFormat="1" applyFont="1" applyFill="1" applyBorder="1" applyAlignment="1" applyProtection="1">
      <alignment horizontal="center" vertical="center" shrinkToFit="1"/>
      <protection locked="0"/>
    </xf>
    <xf numFmtId="0" fontId="26" fillId="0" borderId="9" xfId="4" applyFont="1" applyBorder="1" applyAlignment="1">
      <alignment horizontal="center" vertical="center" wrapText="1"/>
    </xf>
    <xf numFmtId="0" fontId="27" fillId="2" borderId="5" xfId="4" applyFont="1" applyFill="1" applyBorder="1" applyAlignment="1" applyProtection="1">
      <alignment horizontal="center" vertical="center" wrapText="1"/>
      <protection locked="0"/>
    </xf>
    <xf numFmtId="0" fontId="27" fillId="2" borderId="5" xfId="4" applyFont="1" applyFill="1" applyBorder="1" applyAlignment="1" applyProtection="1">
      <alignment horizontal="center" vertical="center"/>
      <protection locked="0"/>
    </xf>
    <xf numFmtId="0" fontId="5" fillId="0" borderId="0" xfId="4" applyFont="1" applyAlignment="1">
      <alignment horizontal="center" vertical="center" wrapText="1"/>
    </xf>
    <xf numFmtId="9" fontId="5" fillId="9" borderId="0" xfId="3" applyFont="1" applyFill="1" applyAlignment="1" applyProtection="1">
      <alignment vertical="center"/>
      <protection hidden="1"/>
    </xf>
    <xf numFmtId="0" fontId="31" fillId="0" borderId="5" xfId="4" applyFont="1" applyBorder="1" applyAlignment="1" applyProtection="1">
      <alignment horizontal="center" vertical="center" wrapText="1"/>
      <protection hidden="1"/>
    </xf>
    <xf numFmtId="0" fontId="26" fillId="12" borderId="5" xfId="4" applyFont="1" applyFill="1" applyBorder="1" applyAlignment="1" applyProtection="1">
      <alignment horizontal="center" vertical="center" wrapText="1"/>
      <protection hidden="1"/>
    </xf>
    <xf numFmtId="0" fontId="26" fillId="20" borderId="5" xfId="4" applyFont="1" applyFill="1" applyBorder="1" applyAlignment="1" applyProtection="1">
      <alignment horizontal="center" vertical="center" wrapText="1"/>
      <protection hidden="1"/>
    </xf>
    <xf numFmtId="0" fontId="27" fillId="17" borderId="0" xfId="4" applyFont="1" applyFill="1" applyAlignment="1" applyProtection="1">
      <alignment horizontal="center" vertical="center"/>
      <protection hidden="1"/>
    </xf>
    <xf numFmtId="0" fontId="5" fillId="0" borderId="0" xfId="4" applyFont="1" applyAlignment="1" applyProtection="1">
      <alignment vertical="center"/>
      <protection hidden="1"/>
    </xf>
    <xf numFmtId="0" fontId="27" fillId="0" borderId="5" xfId="4" applyFont="1" applyBorder="1" applyAlignment="1" applyProtection="1">
      <alignment horizontal="center" vertical="center" wrapText="1"/>
      <protection hidden="1"/>
    </xf>
    <xf numFmtId="173" fontId="30" fillId="3" borderId="5" xfId="2" applyNumberFormat="1" applyFont="1" applyFill="1" applyBorder="1" applyAlignment="1" applyProtection="1">
      <alignment horizontal="center" vertical="center" shrinkToFit="1"/>
      <protection hidden="1"/>
    </xf>
    <xf numFmtId="3" fontId="27" fillId="3" borderId="5" xfId="2" applyNumberFormat="1" applyFont="1" applyFill="1" applyBorder="1" applyAlignment="1" applyProtection="1">
      <alignment horizontal="center" vertical="center" shrinkToFit="1"/>
      <protection hidden="1"/>
    </xf>
    <xf numFmtId="173" fontId="30" fillId="20" borderId="5" xfId="2" applyNumberFormat="1" applyFont="1" applyFill="1" applyBorder="1" applyAlignment="1" applyProtection="1">
      <alignment horizontal="center" vertical="center" shrinkToFit="1"/>
      <protection hidden="1"/>
    </xf>
    <xf numFmtId="9" fontId="27" fillId="0" borderId="5" xfId="4" applyNumberFormat="1" applyFont="1" applyBorder="1" applyAlignment="1" applyProtection="1">
      <alignment horizontal="center" vertical="center" wrapText="1"/>
      <protection hidden="1"/>
    </xf>
    <xf numFmtId="0" fontId="26" fillId="0" borderId="3" xfId="4" applyFont="1" applyBorder="1" applyAlignment="1" applyProtection="1">
      <alignment horizontal="left" vertical="center"/>
      <protection hidden="1"/>
    </xf>
    <xf numFmtId="0" fontId="26" fillId="17" borderId="1" xfId="4" applyFont="1" applyFill="1" applyBorder="1" applyAlignment="1" applyProtection="1">
      <alignment horizontal="center" vertical="center" wrapText="1"/>
      <protection hidden="1"/>
    </xf>
    <xf numFmtId="166" fontId="25" fillId="17" borderId="1" xfId="4" applyNumberFormat="1" applyFont="1" applyFill="1" applyBorder="1" applyAlignment="1" applyProtection="1">
      <alignment horizontal="center" vertical="center" shrinkToFit="1"/>
      <protection hidden="1"/>
    </xf>
    <xf numFmtId="0" fontId="25" fillId="17" borderId="1" xfId="4" applyFont="1" applyFill="1" applyBorder="1" applyAlignment="1" applyProtection="1">
      <alignment horizontal="center" vertical="center" shrinkToFit="1"/>
      <protection hidden="1"/>
    </xf>
    <xf numFmtId="0" fontId="1" fillId="17" borderId="0" xfId="4" applyFill="1" applyAlignment="1" applyProtection="1">
      <alignment vertical="center" shrinkToFit="1"/>
      <protection hidden="1"/>
    </xf>
    <xf numFmtId="0" fontId="5" fillId="17" borderId="0" xfId="4" applyFont="1" applyFill="1" applyAlignment="1" applyProtection="1">
      <alignment vertical="center" shrinkToFit="1"/>
      <protection hidden="1"/>
    </xf>
    <xf numFmtId="0" fontId="26" fillId="0" borderId="3" xfId="4" applyFont="1" applyBorder="1" applyAlignment="1" applyProtection="1">
      <alignment horizontal="left" vertical="center" wrapText="1"/>
      <protection hidden="1"/>
    </xf>
    <xf numFmtId="0" fontId="27" fillId="17" borderId="1" xfId="4" applyFont="1" applyFill="1" applyBorder="1" applyAlignment="1" applyProtection="1">
      <alignment horizontal="center" vertical="center"/>
      <protection hidden="1"/>
    </xf>
    <xf numFmtId="0" fontId="26" fillId="17" borderId="1" xfId="4" applyFont="1" applyFill="1" applyBorder="1" applyAlignment="1" applyProtection="1">
      <alignment vertical="center" wrapText="1"/>
      <protection hidden="1"/>
    </xf>
    <xf numFmtId="0" fontId="25" fillId="17" borderId="1" xfId="4" applyFont="1" applyFill="1" applyBorder="1" applyAlignment="1" applyProtection="1">
      <alignment vertical="center" shrinkToFit="1"/>
      <protection hidden="1"/>
    </xf>
    <xf numFmtId="173" fontId="30" fillId="3" borderId="5" xfId="2" applyNumberFormat="1" applyFont="1" applyFill="1" applyBorder="1" applyAlignment="1" applyProtection="1">
      <alignment horizontal="center" vertical="center" wrapText="1"/>
      <protection hidden="1"/>
    </xf>
    <xf numFmtId="3" fontId="27" fillId="3" borderId="5" xfId="2" applyNumberFormat="1" applyFont="1" applyFill="1" applyBorder="1" applyAlignment="1" applyProtection="1">
      <alignment horizontal="center" vertical="center" wrapText="1"/>
      <protection hidden="1"/>
    </xf>
    <xf numFmtId="173" fontId="27" fillId="3" borderId="1" xfId="0" applyNumberFormat="1" applyFont="1" applyFill="1" applyBorder="1" applyAlignment="1" applyProtection="1">
      <alignment horizontal="center" vertical="center" wrapText="1"/>
      <protection hidden="1"/>
    </xf>
    <xf numFmtId="166" fontId="27" fillId="0" borderId="0" xfId="0" applyNumberFormat="1" applyFont="1" applyAlignment="1" applyProtection="1">
      <alignment horizontal="center" vertical="center" wrapText="1"/>
      <protection hidden="1"/>
    </xf>
    <xf numFmtId="166" fontId="27" fillId="0" borderId="1" xfId="0" applyNumberFormat="1" applyFont="1" applyBorder="1" applyAlignment="1" applyProtection="1">
      <alignment horizontal="center" vertical="center" wrapText="1"/>
      <protection hidden="1"/>
    </xf>
    <xf numFmtId="173" fontId="26" fillId="18" borderId="17" xfId="2" applyNumberFormat="1" applyFont="1" applyFill="1" applyBorder="1" applyAlignment="1" applyProtection="1">
      <alignment horizontal="right" vertical="center" wrapText="1"/>
      <protection hidden="1"/>
    </xf>
    <xf numFmtId="173" fontId="26" fillId="18" borderId="17" xfId="2" applyNumberFormat="1" applyFont="1" applyFill="1" applyBorder="1" applyAlignment="1" applyProtection="1">
      <alignment horizontal="right" vertical="center" shrinkToFit="1"/>
      <protection hidden="1"/>
    </xf>
    <xf numFmtId="10" fontId="26" fillId="18" borderId="17" xfId="3" applyNumberFormat="1" applyFont="1" applyFill="1" applyBorder="1" applyAlignment="1" applyProtection="1">
      <alignment horizontal="center" vertical="center" shrinkToFit="1"/>
      <protection hidden="1"/>
    </xf>
    <xf numFmtId="173" fontId="27" fillId="3" borderId="5" xfId="2" applyNumberFormat="1" applyFont="1" applyFill="1" applyBorder="1" applyAlignment="1" applyProtection="1">
      <alignment horizontal="right" vertical="center" wrapText="1"/>
      <protection hidden="1"/>
    </xf>
    <xf numFmtId="173" fontId="27" fillId="3" borderId="6" xfId="2" applyNumberFormat="1" applyFont="1" applyFill="1" applyBorder="1" applyAlignment="1" applyProtection="1">
      <alignment horizontal="right" vertical="center" wrapText="1"/>
      <protection hidden="1"/>
    </xf>
    <xf numFmtId="173" fontId="27" fillId="3" borderId="5" xfId="2" applyNumberFormat="1" applyFont="1" applyFill="1" applyBorder="1" applyAlignment="1" applyProtection="1">
      <alignment horizontal="right" vertical="center" shrinkToFit="1"/>
      <protection hidden="1"/>
    </xf>
    <xf numFmtId="173" fontId="27" fillId="3" borderId="22" xfId="2" applyNumberFormat="1" applyFont="1" applyFill="1" applyBorder="1" applyAlignment="1" applyProtection="1">
      <alignment horizontal="right" vertical="center" wrapText="1"/>
      <protection hidden="1"/>
    </xf>
    <xf numFmtId="173" fontId="27" fillId="3" borderId="23" xfId="2" applyNumberFormat="1" applyFont="1" applyFill="1" applyBorder="1" applyAlignment="1" applyProtection="1">
      <alignment horizontal="right" vertical="center" wrapText="1"/>
      <protection hidden="1"/>
    </xf>
    <xf numFmtId="173" fontId="26" fillId="4" borderId="17" xfId="2" applyNumberFormat="1" applyFont="1" applyFill="1" applyBorder="1" applyAlignment="1" applyProtection="1">
      <alignment vertical="center" shrinkToFit="1"/>
      <protection hidden="1"/>
    </xf>
    <xf numFmtId="171" fontId="26" fillId="3" borderId="17" xfId="2" applyNumberFormat="1" applyFont="1" applyFill="1" applyBorder="1" applyAlignment="1" applyProtection="1">
      <alignment horizontal="right" vertical="center" wrapText="1"/>
      <protection hidden="1"/>
    </xf>
    <xf numFmtId="167" fontId="27" fillId="3" borderId="5" xfId="4" applyNumberFormat="1" applyFont="1" applyFill="1" applyBorder="1" applyAlignment="1" applyProtection="1">
      <alignment horizontal="center" vertical="center"/>
      <protection hidden="1"/>
    </xf>
    <xf numFmtId="172" fontId="27" fillId="3" borderId="5" xfId="2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62" fillId="0" borderId="0" xfId="4" applyFont="1" applyAlignment="1" applyProtection="1">
      <alignment vertical="center"/>
      <protection hidden="1"/>
    </xf>
    <xf numFmtId="0" fontId="0" fillId="0" borderId="0" xfId="0" applyProtection="1">
      <protection locked="0"/>
    </xf>
    <xf numFmtId="0" fontId="1" fillId="0" borderId="0" xfId="4" applyAlignment="1" applyProtection="1">
      <alignment vertical="center"/>
      <protection locked="0"/>
    </xf>
    <xf numFmtId="0" fontId="3" fillId="0" borderId="0" xfId="4" applyFont="1" applyAlignment="1" applyProtection="1">
      <alignment vertical="center"/>
      <protection locked="0"/>
    </xf>
    <xf numFmtId="0" fontId="5" fillId="0" borderId="0" xfId="4" applyFont="1" applyAlignment="1" applyProtection="1">
      <alignment vertical="center"/>
      <protection locked="0"/>
    </xf>
    <xf numFmtId="0" fontId="30" fillId="0" borderId="5" xfId="4" applyFont="1" applyBorder="1" applyAlignment="1" applyProtection="1">
      <alignment horizontal="center" vertical="center" wrapText="1"/>
      <protection hidden="1"/>
    </xf>
    <xf numFmtId="180" fontId="27" fillId="3" borderId="5" xfId="2" applyNumberFormat="1" applyFont="1" applyFill="1" applyBorder="1" applyAlignment="1" applyProtection="1">
      <alignment horizontal="center" vertical="center" shrinkToFit="1"/>
      <protection hidden="1"/>
    </xf>
    <xf numFmtId="165" fontId="27" fillId="3" borderId="3" xfId="2" applyFont="1" applyFill="1" applyBorder="1" applyAlignment="1" applyProtection="1">
      <alignment horizontal="right" vertical="center" shrinkToFit="1"/>
      <protection hidden="1"/>
    </xf>
    <xf numFmtId="165" fontId="27" fillId="3" borderId="6" xfId="2" applyFont="1" applyFill="1" applyBorder="1" applyAlignment="1" applyProtection="1">
      <alignment horizontal="center" vertical="center" shrinkToFit="1"/>
      <protection hidden="1"/>
    </xf>
    <xf numFmtId="175" fontId="30" fillId="3" borderId="5" xfId="2" applyNumberFormat="1" applyFont="1" applyFill="1" applyBorder="1" applyAlignment="1" applyProtection="1">
      <alignment horizontal="center" vertical="center" shrinkToFit="1"/>
      <protection hidden="1"/>
    </xf>
    <xf numFmtId="175" fontId="30" fillId="20" borderId="5" xfId="2" applyNumberFormat="1" applyFont="1" applyFill="1" applyBorder="1" applyAlignment="1" applyProtection="1">
      <alignment horizontal="center" vertical="center" shrinkToFit="1"/>
      <protection hidden="1"/>
    </xf>
    <xf numFmtId="9" fontId="30" fillId="0" borderId="5" xfId="3" applyFont="1" applyBorder="1" applyAlignment="1" applyProtection="1">
      <alignment horizontal="center" vertical="center" wrapText="1"/>
      <protection hidden="1"/>
    </xf>
    <xf numFmtId="180" fontId="30" fillId="3" borderId="5" xfId="2" applyNumberFormat="1" applyFont="1" applyFill="1" applyBorder="1" applyAlignment="1" applyProtection="1">
      <alignment horizontal="center" vertical="center" shrinkToFit="1"/>
      <protection hidden="1"/>
    </xf>
    <xf numFmtId="175" fontId="27" fillId="3" borderId="5" xfId="2" applyNumberFormat="1" applyFont="1" applyFill="1" applyBorder="1" applyAlignment="1" applyProtection="1">
      <alignment horizontal="center" vertical="center" shrinkToFit="1"/>
      <protection hidden="1"/>
    </xf>
    <xf numFmtId="175" fontId="30" fillId="0" borderId="5" xfId="4" applyNumberFormat="1" applyFont="1" applyBorder="1" applyAlignment="1" applyProtection="1">
      <alignment horizontal="center" vertical="center" wrapText="1"/>
      <protection hidden="1"/>
    </xf>
    <xf numFmtId="9" fontId="30" fillId="0" borderId="9" xfId="3" applyFont="1" applyBorder="1" applyAlignment="1" applyProtection="1">
      <alignment horizontal="center" vertical="center" wrapText="1"/>
      <protection hidden="1"/>
    </xf>
    <xf numFmtId="180" fontId="30" fillId="3" borderId="9" xfId="2" applyNumberFormat="1" applyFont="1" applyFill="1" applyBorder="1" applyAlignment="1" applyProtection="1">
      <alignment horizontal="center" vertical="center" shrinkToFit="1"/>
      <protection hidden="1"/>
    </xf>
    <xf numFmtId="0" fontId="31" fillId="10" borderId="5" xfId="4" applyFont="1" applyFill="1" applyBorder="1" applyAlignment="1" applyProtection="1">
      <alignment horizontal="center" vertical="center" wrapText="1"/>
      <protection hidden="1"/>
    </xf>
    <xf numFmtId="0" fontId="26" fillId="10" borderId="5" xfId="4" applyFont="1" applyFill="1" applyBorder="1" applyAlignment="1" applyProtection="1">
      <alignment horizontal="center" vertical="center" wrapText="1"/>
      <protection hidden="1"/>
    </xf>
    <xf numFmtId="0" fontId="31" fillId="20" borderId="5" xfId="4" applyFont="1" applyFill="1" applyBorder="1" applyAlignment="1" applyProtection="1">
      <alignment horizontal="center" vertical="center" wrapText="1"/>
      <protection hidden="1"/>
    </xf>
    <xf numFmtId="0" fontId="31" fillId="0" borderId="3" xfId="4" applyFont="1" applyBorder="1" applyAlignment="1" applyProtection="1">
      <alignment vertical="center"/>
      <protection hidden="1"/>
    </xf>
    <xf numFmtId="0" fontId="49" fillId="0" borderId="1" xfId="4" applyFont="1" applyBorder="1" applyAlignment="1" applyProtection="1">
      <alignment vertical="center"/>
      <protection hidden="1"/>
    </xf>
    <xf numFmtId="0" fontId="46" fillId="17" borderId="0" xfId="4" applyFont="1" applyFill="1" applyAlignment="1" applyProtection="1">
      <alignment horizontal="center" vertical="center"/>
      <protection hidden="1"/>
    </xf>
    <xf numFmtId="0" fontId="49" fillId="17" borderId="0" xfId="4" applyFont="1" applyFill="1" applyAlignment="1" applyProtection="1">
      <alignment horizontal="center" vertical="center"/>
      <protection hidden="1"/>
    </xf>
    <xf numFmtId="0" fontId="46" fillId="17" borderId="0" xfId="4" applyFont="1" applyFill="1" applyAlignment="1" applyProtection="1">
      <alignment vertical="center"/>
      <protection hidden="1"/>
    </xf>
    <xf numFmtId="9" fontId="27" fillId="0" borderId="3" xfId="3" applyFont="1" applyBorder="1" applyAlignment="1" applyProtection="1">
      <alignment horizontal="center" vertical="center" wrapText="1"/>
      <protection hidden="1"/>
    </xf>
    <xf numFmtId="10" fontId="27" fillId="0" borderId="5" xfId="3" applyNumberFormat="1" applyFont="1" applyBorder="1" applyAlignment="1" applyProtection="1">
      <alignment horizontal="center" vertical="center" wrapText="1"/>
      <protection hidden="1"/>
    </xf>
    <xf numFmtId="9" fontId="27" fillId="0" borderId="5" xfId="3" applyFont="1" applyBorder="1" applyAlignment="1" applyProtection="1">
      <alignment horizontal="center" vertical="center" wrapText="1"/>
      <protection hidden="1"/>
    </xf>
    <xf numFmtId="0" fontId="31" fillId="0" borderId="14" xfId="4" applyFont="1" applyBorder="1" applyAlignment="1" applyProtection="1">
      <alignment vertical="center"/>
      <protection hidden="1"/>
    </xf>
    <xf numFmtId="0" fontId="49" fillId="17" borderId="4" xfId="4" applyFont="1" applyFill="1" applyBorder="1" applyAlignment="1" applyProtection="1">
      <alignment vertical="center"/>
      <protection hidden="1"/>
    </xf>
    <xf numFmtId="0" fontId="46" fillId="17" borderId="0" xfId="4" applyFont="1" applyFill="1" applyAlignment="1" applyProtection="1">
      <alignment horizontal="center" vertical="center" shrinkToFit="1"/>
      <protection hidden="1"/>
    </xf>
    <xf numFmtId="0" fontId="49" fillId="17" borderId="0" xfId="4" applyFont="1" applyFill="1" applyAlignment="1" applyProtection="1">
      <alignment horizontal="right" vertical="center" shrinkToFit="1"/>
      <protection hidden="1"/>
    </xf>
    <xf numFmtId="0" fontId="46" fillId="17" borderId="0" xfId="4" applyFont="1" applyFill="1" applyAlignment="1" applyProtection="1">
      <alignment vertical="center" shrinkToFit="1"/>
      <protection hidden="1"/>
    </xf>
    <xf numFmtId="0" fontId="49" fillId="17" borderId="0" xfId="4" applyFont="1" applyFill="1" applyAlignment="1" applyProtection="1">
      <alignment horizontal="center" vertical="center" shrinkToFit="1"/>
      <protection hidden="1"/>
    </xf>
    <xf numFmtId="0" fontId="31" fillId="0" borderId="14" xfId="4" applyFont="1" applyBorder="1" applyAlignment="1" applyProtection="1">
      <alignment horizontal="left" vertical="center"/>
      <protection hidden="1"/>
    </xf>
    <xf numFmtId="0" fontId="49" fillId="17" borderId="4" xfId="4" applyFont="1" applyFill="1" applyBorder="1" applyAlignment="1" applyProtection="1">
      <alignment vertical="center" shrinkToFit="1"/>
      <protection hidden="1"/>
    </xf>
    <xf numFmtId="0" fontId="31" fillId="17" borderId="3" xfId="4" applyFont="1" applyFill="1" applyBorder="1" applyAlignment="1" applyProtection="1">
      <alignment horizontal="left" vertical="center" wrapText="1"/>
      <protection hidden="1"/>
    </xf>
    <xf numFmtId="0" fontId="31" fillId="17" borderId="0" xfId="4" applyFont="1" applyFill="1" applyAlignment="1" applyProtection="1">
      <alignment vertical="center"/>
      <protection hidden="1"/>
    </xf>
    <xf numFmtId="0" fontId="49" fillId="17" borderId="1" xfId="4" applyFont="1" applyFill="1" applyBorder="1" applyAlignment="1" applyProtection="1">
      <alignment vertical="center" shrinkToFit="1"/>
      <protection hidden="1"/>
    </xf>
    <xf numFmtId="0" fontId="49" fillId="17" borderId="19" xfId="4" applyFont="1" applyFill="1" applyBorder="1" applyAlignment="1" applyProtection="1">
      <alignment horizontal="center" vertical="center" shrinkToFit="1"/>
      <protection hidden="1"/>
    </xf>
    <xf numFmtId="0" fontId="49" fillId="0" borderId="0" xfId="0" applyFont="1" applyAlignment="1" applyProtection="1">
      <alignment vertical="center"/>
      <protection hidden="1"/>
    </xf>
    <xf numFmtId="0" fontId="46" fillId="0" borderId="0" xfId="0" applyFont="1" applyAlignment="1" applyProtection="1">
      <alignment vertical="center"/>
      <protection hidden="1"/>
    </xf>
    <xf numFmtId="0" fontId="30" fillId="0" borderId="0" xfId="4" applyFont="1" applyAlignment="1" applyProtection="1">
      <alignment vertical="center"/>
      <protection hidden="1"/>
    </xf>
    <xf numFmtId="0" fontId="27" fillId="0" borderId="0" xfId="4" applyFont="1" applyAlignment="1" applyProtection="1">
      <alignment vertical="center"/>
      <protection hidden="1"/>
    </xf>
    <xf numFmtId="9" fontId="46" fillId="0" borderId="0" xfId="3" applyFont="1" applyFill="1" applyBorder="1" applyAlignment="1" applyProtection="1">
      <alignment horizontal="center" vertical="center" wrapText="1"/>
      <protection hidden="1"/>
    </xf>
    <xf numFmtId="166" fontId="46" fillId="0" borderId="0" xfId="2" applyNumberFormat="1" applyFont="1" applyFill="1" applyBorder="1" applyAlignment="1" applyProtection="1">
      <alignment horizontal="center" vertical="center" wrapText="1"/>
      <protection hidden="1"/>
    </xf>
    <xf numFmtId="165" fontId="33" fillId="0" borderId="0" xfId="2" applyFont="1" applyFill="1" applyBorder="1" applyAlignment="1" applyProtection="1">
      <alignment horizontal="center" vertical="center" wrapText="1"/>
      <protection hidden="1"/>
    </xf>
    <xf numFmtId="10" fontId="27" fillId="21" borderId="5" xfId="3" applyNumberFormat="1" applyFont="1" applyFill="1" applyBorder="1" applyAlignment="1" applyProtection="1">
      <alignment horizontal="center" vertical="center" shrinkToFit="1"/>
    </xf>
    <xf numFmtId="10" fontId="31" fillId="19" borderId="17" xfId="3" applyNumberFormat="1" applyFont="1" applyFill="1" applyBorder="1" applyAlignment="1" applyProtection="1">
      <alignment horizontal="center" vertical="center" shrinkToFit="1"/>
    </xf>
    <xf numFmtId="5" fontId="30" fillId="2" borderId="5" xfId="2" applyNumberFormat="1" applyFont="1" applyFill="1" applyBorder="1" applyAlignment="1" applyProtection="1">
      <alignment horizontal="right" vertical="center" shrinkToFit="1"/>
      <protection locked="0"/>
    </xf>
    <xf numFmtId="179" fontId="30" fillId="3" borderId="5" xfId="6" applyNumberFormat="1" applyFont="1" applyFill="1" applyBorder="1" applyAlignment="1" applyProtection="1">
      <alignment horizontal="center" vertical="center" shrinkToFit="1"/>
      <protection hidden="1"/>
    </xf>
    <xf numFmtId="179" fontId="31" fillId="19" borderId="17" xfId="6" applyNumberFormat="1" applyFont="1" applyFill="1" applyBorder="1" applyAlignment="1" applyProtection="1">
      <alignment horizontal="center" vertical="center" shrinkToFit="1"/>
      <protection hidden="1"/>
    </xf>
    <xf numFmtId="181" fontId="27" fillId="5" borderId="5" xfId="2" applyNumberFormat="1" applyFont="1" applyFill="1" applyBorder="1" applyAlignment="1" applyProtection="1">
      <alignment horizontal="center" vertical="center"/>
      <protection locked="0"/>
    </xf>
    <xf numFmtId="0" fontId="63" fillId="0" borderId="0" xfId="4" applyFont="1"/>
    <xf numFmtId="5" fontId="27" fillId="21" borderId="5" xfId="2" applyNumberFormat="1" applyFont="1" applyFill="1" applyBorder="1" applyAlignment="1" applyProtection="1">
      <alignment horizontal="center" vertical="center" shrinkToFit="1"/>
    </xf>
    <xf numFmtId="180" fontId="26" fillId="19" borderId="17" xfId="2" applyNumberFormat="1" applyFont="1" applyFill="1" applyBorder="1" applyAlignment="1" applyProtection="1">
      <alignment horizontal="right" vertical="center" shrinkToFit="1"/>
    </xf>
    <xf numFmtId="175" fontId="30" fillId="3" borderId="0" xfId="2" applyNumberFormat="1" applyFont="1" applyFill="1" applyBorder="1" applyAlignment="1" applyProtection="1">
      <alignment vertical="center" shrinkToFit="1"/>
      <protection hidden="1"/>
    </xf>
    <xf numFmtId="175" fontId="30" fillId="3" borderId="0" xfId="2" applyNumberFormat="1" applyFont="1" applyFill="1" applyBorder="1" applyAlignment="1" applyProtection="1">
      <alignment horizontal="right" vertical="center" shrinkToFit="1"/>
      <protection hidden="1"/>
    </xf>
    <xf numFmtId="9" fontId="30" fillId="3" borderId="0" xfId="3" applyFont="1" applyFill="1" applyBorder="1" applyAlignment="1" applyProtection="1">
      <alignment horizontal="center" vertical="center" shrinkToFit="1"/>
      <protection hidden="1"/>
    </xf>
    <xf numFmtId="175" fontId="27" fillId="21" borderId="0" xfId="2" applyNumberFormat="1" applyFont="1" applyFill="1" applyBorder="1" applyAlignment="1" applyProtection="1">
      <alignment horizontal="center" vertical="center" shrinkToFit="1"/>
    </xf>
    <xf numFmtId="175" fontId="30" fillId="3" borderId="7" xfId="2" applyNumberFormat="1" applyFont="1" applyFill="1" applyBorder="1" applyAlignment="1" applyProtection="1">
      <alignment horizontal="right" vertical="center" shrinkToFit="1"/>
      <protection hidden="1"/>
    </xf>
    <xf numFmtId="0" fontId="45" fillId="0" borderId="0" xfId="4" applyFont="1" applyAlignment="1" applyProtection="1">
      <alignment vertical="center"/>
      <protection hidden="1"/>
    </xf>
    <xf numFmtId="0" fontId="45" fillId="17" borderId="0" xfId="4" applyFont="1" applyFill="1" applyAlignment="1" applyProtection="1">
      <alignment vertical="center"/>
      <protection hidden="1"/>
    </xf>
    <xf numFmtId="0" fontId="47" fillId="17" borderId="0" xfId="4" applyFont="1" applyFill="1" applyAlignment="1" applyProtection="1">
      <alignment vertical="center"/>
      <protection hidden="1"/>
    </xf>
    <xf numFmtId="0" fontId="47" fillId="17" borderId="0" xfId="4" applyFont="1" applyFill="1" applyAlignment="1" applyProtection="1">
      <alignment vertical="center" wrapText="1"/>
      <protection hidden="1"/>
    </xf>
    <xf numFmtId="0" fontId="25" fillId="17" borderId="0" xfId="4" applyFont="1" applyFill="1" applyAlignment="1" applyProtection="1">
      <alignment vertical="center"/>
      <protection hidden="1"/>
    </xf>
    <xf numFmtId="0" fontId="30" fillId="17" borderId="0" xfId="4" applyFont="1" applyFill="1" applyAlignment="1" applyProtection="1">
      <alignment vertical="center"/>
      <protection hidden="1"/>
    </xf>
    <xf numFmtId="0" fontId="47" fillId="0" borderId="0" xfId="4" applyFont="1" applyAlignment="1" applyProtection="1">
      <alignment vertical="center"/>
      <protection hidden="1"/>
    </xf>
    <xf numFmtId="5" fontId="31" fillId="0" borderId="0" xfId="3" applyNumberFormat="1" applyFont="1" applyFill="1" applyBorder="1" applyAlignment="1" applyProtection="1">
      <alignment horizontal="right" vertical="center" shrinkToFit="1"/>
      <protection hidden="1"/>
    </xf>
    <xf numFmtId="5" fontId="31" fillId="0" borderId="0" xfId="2" applyNumberFormat="1" applyFont="1" applyFill="1" applyBorder="1" applyAlignment="1" applyProtection="1">
      <alignment horizontal="center" vertical="center" shrinkToFit="1"/>
    </xf>
    <xf numFmtId="179" fontId="31" fillId="0" borderId="0" xfId="3" applyNumberFormat="1" applyFont="1" applyFill="1" applyBorder="1" applyAlignment="1" applyProtection="1">
      <alignment horizontal="right" vertical="center" shrinkToFit="1"/>
      <protection hidden="1"/>
    </xf>
    <xf numFmtId="10" fontId="30" fillId="3" borderId="9" xfId="3" applyNumberFormat="1" applyFont="1" applyFill="1" applyBorder="1" applyAlignment="1" applyProtection="1">
      <alignment horizontal="center" vertical="center" shrinkToFit="1"/>
      <protection hidden="1"/>
    </xf>
    <xf numFmtId="10" fontId="31" fillId="19" borderId="17" xfId="3" applyNumberFormat="1" applyFont="1" applyFill="1" applyBorder="1" applyAlignment="1" applyProtection="1">
      <alignment horizontal="center" vertical="center" shrinkToFit="1"/>
      <protection hidden="1"/>
    </xf>
    <xf numFmtId="10" fontId="30" fillId="3" borderId="5" xfId="3" applyNumberFormat="1" applyFont="1" applyFill="1" applyBorder="1" applyAlignment="1" applyProtection="1">
      <alignment horizontal="center" vertical="center" shrinkToFit="1"/>
      <protection hidden="1"/>
    </xf>
    <xf numFmtId="0" fontId="75" fillId="0" borderId="0" xfId="4" applyFont="1" applyAlignment="1">
      <alignment horizontal="right" vertical="center"/>
    </xf>
    <xf numFmtId="0" fontId="59" fillId="3" borderId="5" xfId="4" applyFont="1" applyFill="1" applyBorder="1" applyAlignment="1">
      <alignment horizontal="center" vertical="center" wrapText="1"/>
    </xf>
    <xf numFmtId="0" fontId="31" fillId="13" borderId="5" xfId="4" applyFont="1" applyFill="1" applyBorder="1" applyAlignment="1" applyProtection="1">
      <alignment horizontal="center" vertical="center" wrapText="1"/>
      <protection hidden="1"/>
    </xf>
    <xf numFmtId="0" fontId="26" fillId="22" borderId="6" xfId="4" applyFont="1" applyFill="1" applyBorder="1" applyAlignment="1" applyProtection="1">
      <alignment horizontal="center" vertical="center" wrapText="1"/>
      <protection hidden="1"/>
    </xf>
    <xf numFmtId="176" fontId="30" fillId="3" borderId="5" xfId="2" applyNumberFormat="1" applyFont="1" applyFill="1" applyBorder="1" applyAlignment="1" applyProtection="1">
      <alignment horizontal="center" vertical="center" shrinkToFit="1"/>
      <protection hidden="1"/>
    </xf>
    <xf numFmtId="37" fontId="27" fillId="3" borderId="5" xfId="2" applyNumberFormat="1" applyFont="1" applyFill="1" applyBorder="1" applyAlignment="1" applyProtection="1">
      <alignment horizontal="center" vertical="center" wrapText="1"/>
      <protection hidden="1"/>
    </xf>
    <xf numFmtId="173" fontId="27" fillId="3" borderId="5" xfId="2" applyNumberFormat="1" applyFont="1" applyFill="1" applyBorder="1" applyAlignment="1" applyProtection="1">
      <alignment horizontal="center" vertical="center" wrapText="1"/>
      <protection hidden="1"/>
    </xf>
    <xf numFmtId="176" fontId="30" fillId="17" borderId="1" xfId="2" applyNumberFormat="1" applyFont="1" applyFill="1" applyBorder="1" applyAlignment="1" applyProtection="1">
      <alignment horizontal="center" vertical="center" shrinkToFit="1"/>
      <protection hidden="1"/>
    </xf>
    <xf numFmtId="175" fontId="30" fillId="3" borderId="9" xfId="2" applyNumberFormat="1" applyFont="1" applyFill="1" applyBorder="1" applyAlignment="1" applyProtection="1">
      <alignment horizontal="center" vertical="center" shrinkToFit="1"/>
      <protection hidden="1"/>
    </xf>
    <xf numFmtId="178" fontId="31" fillId="0" borderId="0" xfId="3" applyNumberFormat="1" applyFont="1" applyFill="1" applyBorder="1" applyAlignment="1" applyProtection="1">
      <alignment horizontal="right" vertical="center" shrinkToFit="1"/>
    </xf>
    <xf numFmtId="0" fontId="68" fillId="0" borderId="0" xfId="4" applyFont="1" applyAlignment="1">
      <alignment horizontal="right" shrinkToFit="1"/>
    </xf>
    <xf numFmtId="180" fontId="31" fillId="19" borderId="17" xfId="2" applyNumberFormat="1" applyFont="1" applyFill="1" applyBorder="1" applyAlignment="1" applyProtection="1">
      <alignment horizontal="right" vertical="center" shrinkToFit="1"/>
    </xf>
    <xf numFmtId="0" fontId="30" fillId="9" borderId="0" xfId="4" applyFont="1" applyFill="1" applyAlignment="1" applyProtection="1">
      <alignment vertical="center"/>
      <protection hidden="1"/>
    </xf>
    <xf numFmtId="0" fontId="27" fillId="9" borderId="0" xfId="4" applyFont="1" applyFill="1" applyAlignment="1" applyProtection="1">
      <alignment vertical="center"/>
      <protection hidden="1"/>
    </xf>
    <xf numFmtId="0" fontId="25" fillId="9" borderId="0" xfId="4" applyFont="1" applyFill="1" applyAlignment="1" applyProtection="1">
      <alignment vertical="center"/>
      <protection hidden="1"/>
    </xf>
    <xf numFmtId="5" fontId="27" fillId="9" borderId="0" xfId="4" applyNumberFormat="1" applyFont="1" applyFill="1" applyAlignment="1" applyProtection="1">
      <alignment vertical="center"/>
      <protection hidden="1"/>
    </xf>
    <xf numFmtId="0" fontId="59" fillId="9" borderId="0" xfId="4" applyFont="1" applyFill="1" applyAlignment="1" applyProtection="1">
      <alignment vertical="center" wrapText="1"/>
      <protection hidden="1"/>
    </xf>
    <xf numFmtId="10" fontId="27" fillId="3" borderId="5" xfId="3" applyNumberFormat="1" applyFont="1" applyFill="1" applyBorder="1" applyAlignment="1" applyProtection="1">
      <alignment horizontal="center" vertical="center" wrapText="1"/>
      <protection hidden="1"/>
    </xf>
    <xf numFmtId="10" fontId="26" fillId="18" borderId="17" xfId="3" applyNumberFormat="1" applyFont="1" applyFill="1" applyBorder="1" applyAlignment="1" applyProtection="1">
      <alignment horizontal="center" vertical="center" wrapText="1"/>
      <protection hidden="1"/>
    </xf>
    <xf numFmtId="10" fontId="31" fillId="18" borderId="17" xfId="3" applyNumberFormat="1" applyFont="1" applyFill="1" applyBorder="1" applyAlignment="1" applyProtection="1">
      <alignment horizontal="center" vertical="center" wrapText="1"/>
      <protection hidden="1"/>
    </xf>
    <xf numFmtId="5" fontId="27" fillId="17" borderId="1" xfId="2" applyNumberFormat="1" applyFont="1" applyFill="1" applyBorder="1" applyAlignment="1" applyProtection="1">
      <alignment horizontal="center" vertical="center"/>
      <protection hidden="1"/>
    </xf>
    <xf numFmtId="0" fontId="69" fillId="0" borderId="0" xfId="2" applyNumberFormat="1" applyFont="1" applyFill="1" applyAlignment="1">
      <alignment vertical="center" wrapText="1"/>
    </xf>
    <xf numFmtId="0" fontId="26" fillId="16" borderId="5" xfId="0" applyFont="1" applyFill="1" applyBorder="1" applyAlignment="1" applyProtection="1">
      <alignment horizontal="center" vertical="center" wrapText="1"/>
      <protection hidden="1"/>
    </xf>
    <xf numFmtId="0" fontId="78" fillId="9" borderId="0" xfId="4" applyFont="1" applyFill="1" applyAlignment="1" applyProtection="1">
      <alignment vertical="center"/>
      <protection hidden="1"/>
    </xf>
    <xf numFmtId="0" fontId="79" fillId="9" borderId="0" xfId="4" applyFont="1" applyFill="1" applyAlignment="1" applyProtection="1">
      <alignment vertical="center"/>
      <protection hidden="1"/>
    </xf>
    <xf numFmtId="3" fontId="79" fillId="9" borderId="0" xfId="4" applyNumberFormat="1" applyFont="1" applyFill="1" applyAlignment="1" applyProtection="1">
      <alignment vertical="center"/>
      <protection hidden="1"/>
    </xf>
    <xf numFmtId="9" fontId="79" fillId="9" borderId="0" xfId="4" applyNumberFormat="1" applyFont="1" applyFill="1" applyAlignment="1" applyProtection="1">
      <alignment vertical="center"/>
      <protection hidden="1"/>
    </xf>
    <xf numFmtId="10" fontId="79" fillId="9" borderId="0" xfId="4" applyNumberFormat="1" applyFont="1" applyFill="1" applyAlignment="1" applyProtection="1">
      <alignment vertical="center"/>
      <protection hidden="1"/>
    </xf>
    <xf numFmtId="0" fontId="63" fillId="0" borderId="0" xfId="2" applyNumberFormat="1" applyFont="1" applyFill="1" applyAlignment="1">
      <alignment vertical="center" wrapText="1"/>
    </xf>
    <xf numFmtId="0" fontId="24" fillId="0" borderId="0" xfId="0" applyFont="1" applyAlignment="1" applyProtection="1">
      <alignment horizontal="right" vertical="center"/>
      <protection hidden="1"/>
    </xf>
    <xf numFmtId="10" fontId="32" fillId="0" borderId="0" xfId="3" applyNumberFormat="1" applyFont="1" applyFill="1" applyBorder="1" applyAlignment="1" applyProtection="1">
      <alignment horizontal="left" vertical="center" shrinkToFit="1"/>
      <protection hidden="1"/>
    </xf>
    <xf numFmtId="0" fontId="68" fillId="0" borderId="0" xfId="4" applyFont="1" applyAlignment="1" applyProtection="1">
      <alignment horizontal="right"/>
      <protection hidden="1"/>
    </xf>
    <xf numFmtId="10" fontId="26" fillId="0" borderId="0" xfId="3" applyNumberFormat="1" applyFont="1" applyFill="1" applyBorder="1" applyAlignment="1" applyProtection="1">
      <alignment horizontal="left" shrinkToFit="1"/>
      <protection hidden="1"/>
    </xf>
    <xf numFmtId="0" fontId="31" fillId="0" borderId="3" xfId="4" applyFont="1" applyBorder="1" applyAlignment="1">
      <alignment horizontal="right" vertical="center" wrapText="1"/>
    </xf>
    <xf numFmtId="0" fontId="26" fillId="0" borderId="5" xfId="4" applyFont="1" applyBorder="1" applyAlignment="1">
      <alignment horizontal="right" vertical="center" wrapText="1"/>
    </xf>
    <xf numFmtId="173" fontId="27" fillId="0" borderId="0" xfId="2" applyNumberFormat="1" applyFont="1" applyFill="1" applyBorder="1" applyAlignment="1" applyProtection="1">
      <alignment horizontal="center" vertical="center" wrapText="1"/>
    </xf>
    <xf numFmtId="182" fontId="27" fillId="5" borderId="5" xfId="2" applyNumberFormat="1" applyFont="1" applyFill="1" applyBorder="1" applyAlignment="1" applyProtection="1">
      <alignment horizontal="center" vertical="center"/>
      <protection locked="0"/>
    </xf>
    <xf numFmtId="175" fontId="27" fillId="3" borderId="5" xfId="2" applyNumberFormat="1" applyFont="1" applyFill="1" applyBorder="1" applyAlignment="1" applyProtection="1">
      <alignment horizontal="center" vertical="center"/>
      <protection hidden="1"/>
    </xf>
    <xf numFmtId="0" fontId="81" fillId="0" borderId="0" xfId="2" applyNumberFormat="1" applyFont="1" applyFill="1" applyBorder="1" applyAlignment="1" applyProtection="1">
      <alignment horizontal="left" vertical="center"/>
    </xf>
    <xf numFmtId="49" fontId="73" fillId="0" borderId="0" xfId="4" applyNumberFormat="1" applyFont="1" applyAlignment="1" applyProtection="1">
      <alignment horizontal="left" vertical="center"/>
      <protection hidden="1"/>
    </xf>
    <xf numFmtId="0" fontId="58" fillId="17" borderId="0" xfId="4" applyFont="1" applyFill="1" applyAlignment="1" applyProtection="1">
      <alignment horizontal="center" vertical="center" wrapText="1"/>
      <protection hidden="1"/>
    </xf>
    <xf numFmtId="49" fontId="26" fillId="17" borderId="0" xfId="4" applyNumberFormat="1" applyFont="1" applyFill="1" applyAlignment="1" applyProtection="1">
      <alignment horizontal="right" vertical="center" wrapText="1"/>
      <protection hidden="1"/>
    </xf>
    <xf numFmtId="182" fontId="27" fillId="17" borderId="0" xfId="4" applyNumberFormat="1" applyFont="1" applyFill="1" applyAlignment="1" applyProtection="1">
      <alignment horizontal="center" vertical="center"/>
      <protection hidden="1"/>
    </xf>
    <xf numFmtId="0" fontId="26" fillId="0" borderId="12" xfId="4" applyFont="1" applyBorder="1" applyAlignment="1" applyProtection="1">
      <alignment horizontal="center" vertical="center" wrapText="1"/>
      <protection hidden="1"/>
    </xf>
    <xf numFmtId="0" fontId="27" fillId="2" borderId="9" xfId="4" applyFont="1" applyFill="1" applyBorder="1" applyAlignment="1" applyProtection="1">
      <alignment horizontal="center" vertical="center" wrapText="1"/>
      <protection locked="0"/>
    </xf>
    <xf numFmtId="5" fontId="27" fillId="2" borderId="9" xfId="2" applyNumberFormat="1" applyFont="1" applyFill="1" applyBorder="1" applyAlignment="1" applyProtection="1">
      <alignment horizontal="center" vertical="center" wrapText="1"/>
      <protection locked="0"/>
    </xf>
    <xf numFmtId="0" fontId="26" fillId="16" borderId="12" xfId="4" applyFont="1" applyFill="1" applyBorder="1" applyAlignment="1">
      <alignment horizontal="center" vertical="center" wrapText="1"/>
    </xf>
    <xf numFmtId="0" fontId="26" fillId="0" borderId="12" xfId="4" applyFont="1" applyBorder="1" applyAlignment="1">
      <alignment horizontal="center" vertical="center" wrapText="1"/>
    </xf>
    <xf numFmtId="0" fontId="1" fillId="17" borderId="19" xfId="4" applyFill="1" applyBorder="1" applyProtection="1">
      <protection hidden="1"/>
    </xf>
    <xf numFmtId="0" fontId="46" fillId="17" borderId="19" xfId="4" applyFont="1" applyFill="1" applyBorder="1" applyAlignment="1" applyProtection="1">
      <alignment vertical="center"/>
      <protection hidden="1"/>
    </xf>
    <xf numFmtId="0" fontId="47" fillId="17" borderId="11" xfId="4" applyFont="1" applyFill="1" applyBorder="1" applyAlignment="1" applyProtection="1">
      <alignment vertical="center"/>
      <protection hidden="1"/>
    </xf>
    <xf numFmtId="0" fontId="85" fillId="17" borderId="14" xfId="4" applyFont="1" applyFill="1" applyBorder="1" applyAlignment="1" applyProtection="1">
      <alignment vertical="center"/>
      <protection hidden="1"/>
    </xf>
    <xf numFmtId="0" fontId="1" fillId="17" borderId="4" xfId="4" applyFill="1" applyBorder="1" applyProtection="1">
      <protection hidden="1"/>
    </xf>
    <xf numFmtId="0" fontId="46" fillId="17" borderId="4" xfId="4" applyFont="1" applyFill="1" applyBorder="1" applyAlignment="1" applyProtection="1">
      <alignment vertical="center"/>
      <protection hidden="1"/>
    </xf>
    <xf numFmtId="0" fontId="47" fillId="17" borderId="21" xfId="4" applyFont="1" applyFill="1" applyBorder="1" applyAlignment="1" applyProtection="1">
      <alignment vertical="center"/>
      <protection hidden="1"/>
    </xf>
    <xf numFmtId="0" fontId="26" fillId="0" borderId="5" xfId="4" applyFont="1" applyBorder="1" applyAlignment="1">
      <alignment horizontal="center" vertical="center" wrapText="1"/>
    </xf>
    <xf numFmtId="173" fontId="27" fillId="5" borderId="9" xfId="2" applyNumberFormat="1" applyFont="1" applyFill="1" applyBorder="1" applyAlignment="1" applyProtection="1">
      <alignment horizontal="right" vertical="center" wrapText="1"/>
      <protection locked="0"/>
    </xf>
    <xf numFmtId="173" fontId="30" fillId="3" borderId="9" xfId="2" applyNumberFormat="1" applyFont="1" applyFill="1" applyBorder="1" applyAlignment="1" applyProtection="1">
      <alignment horizontal="right" vertical="center" shrinkToFit="1"/>
    </xf>
    <xf numFmtId="174" fontId="30" fillId="2" borderId="9" xfId="4" applyNumberFormat="1" applyFont="1" applyFill="1" applyBorder="1" applyAlignment="1" applyProtection="1">
      <alignment horizontal="center" vertical="center" shrinkToFit="1"/>
      <protection locked="0"/>
    </xf>
    <xf numFmtId="167" fontId="27" fillId="3" borderId="9" xfId="4" applyNumberFormat="1" applyFont="1" applyFill="1" applyBorder="1" applyAlignment="1" applyProtection="1">
      <alignment horizontal="center" vertical="center"/>
      <protection hidden="1"/>
    </xf>
    <xf numFmtId="173" fontId="27" fillId="5" borderId="5" xfId="2" applyNumberFormat="1" applyFont="1" applyFill="1" applyBorder="1" applyAlignment="1" applyProtection="1">
      <alignment horizontal="right" vertical="center" wrapText="1"/>
      <protection locked="0"/>
    </xf>
    <xf numFmtId="0" fontId="49" fillId="0" borderId="0" xfId="4" applyFont="1" applyAlignment="1" applyProtection="1">
      <alignment vertical="center"/>
      <protection hidden="1"/>
    </xf>
    <xf numFmtId="0" fontId="86" fillId="0" borderId="0" xfId="4" applyFont="1" applyAlignment="1" applyProtection="1">
      <alignment vertical="center"/>
      <protection hidden="1"/>
    </xf>
    <xf numFmtId="0" fontId="46" fillId="0" borderId="0" xfId="4" applyFont="1" applyAlignment="1" applyProtection="1">
      <alignment vertical="center"/>
      <protection hidden="1"/>
    </xf>
    <xf numFmtId="0" fontId="41" fillId="6" borderId="0" xfId="4" applyFont="1" applyFill="1" applyAlignment="1" applyProtection="1">
      <alignment horizontal="left" vertical="center"/>
      <protection hidden="1"/>
    </xf>
    <xf numFmtId="0" fontId="8" fillId="6" borderId="0" xfId="4" applyFont="1" applyFill="1" applyAlignment="1" applyProtection="1">
      <alignment vertical="center" wrapText="1"/>
      <protection hidden="1"/>
    </xf>
    <xf numFmtId="165" fontId="21" fillId="6" borderId="4" xfId="2" applyFont="1" applyFill="1" applyBorder="1" applyAlignment="1" applyProtection="1">
      <alignment vertical="center" wrapText="1"/>
    </xf>
    <xf numFmtId="0" fontId="36" fillId="6" borderId="0" xfId="4" applyFont="1" applyFill="1" applyAlignment="1" applyProtection="1">
      <alignment horizontal="left" vertical="center"/>
      <protection hidden="1"/>
    </xf>
    <xf numFmtId="0" fontId="46" fillId="6" borderId="0" xfId="4" applyFont="1" applyFill="1" applyAlignment="1" applyProtection="1">
      <alignment horizontal="right" vertical="center" wrapText="1"/>
      <protection hidden="1"/>
    </xf>
    <xf numFmtId="0" fontId="8" fillId="0" borderId="0" xfId="4" applyFont="1" applyAlignment="1" applyProtection="1">
      <alignment vertical="center" wrapText="1"/>
      <protection hidden="1"/>
    </xf>
    <xf numFmtId="0" fontId="8" fillId="17" borderId="0" xfId="4" applyFont="1" applyFill="1" applyAlignment="1" applyProtection="1">
      <alignment vertical="center" wrapText="1"/>
      <protection hidden="1"/>
    </xf>
    <xf numFmtId="0" fontId="27" fillId="17" borderId="0" xfId="4" applyFont="1" applyFill="1" applyAlignment="1" applyProtection="1">
      <alignment horizontal="right" vertical="center"/>
      <protection hidden="1"/>
    </xf>
    <xf numFmtId="0" fontId="87" fillId="0" borderId="5" xfId="4" applyFont="1" applyBorder="1" applyAlignment="1" applyProtection="1">
      <alignment horizontal="center" vertical="center" wrapText="1"/>
      <protection hidden="1"/>
    </xf>
    <xf numFmtId="0" fontId="26" fillId="0" borderId="5" xfId="4" applyFont="1" applyBorder="1" applyAlignment="1" applyProtection="1">
      <alignment horizontal="center" vertical="center" wrapText="1"/>
      <protection hidden="1"/>
    </xf>
    <xf numFmtId="0" fontId="8" fillId="0" borderId="0" xfId="4" applyFont="1" applyAlignment="1">
      <alignment vertical="center"/>
    </xf>
    <xf numFmtId="0" fontId="19" fillId="0" borderId="0" xfId="4" applyFont="1" applyAlignment="1" applyProtection="1">
      <alignment vertical="center"/>
      <protection locked="0"/>
    </xf>
    <xf numFmtId="0" fontId="31" fillId="0" borderId="3" xfId="4" applyFont="1" applyBorder="1" applyAlignment="1" applyProtection="1">
      <alignment horizontal="center" vertical="center" wrapText="1"/>
      <protection hidden="1"/>
    </xf>
    <xf numFmtId="173" fontId="27" fillId="3" borderId="1" xfId="4" applyNumberFormat="1" applyFont="1" applyFill="1" applyBorder="1" applyAlignment="1" applyProtection="1">
      <alignment horizontal="center" vertical="center" wrapText="1"/>
      <protection hidden="1"/>
    </xf>
    <xf numFmtId="0" fontId="26" fillId="0" borderId="1" xfId="4" applyFont="1" applyBorder="1" applyAlignment="1" applyProtection="1">
      <alignment horizontal="center" vertical="center" wrapText="1"/>
      <protection hidden="1"/>
    </xf>
    <xf numFmtId="0" fontId="27" fillId="3" borderId="1" xfId="4" applyFont="1" applyFill="1" applyBorder="1" applyAlignment="1" applyProtection="1">
      <alignment horizontal="center" vertical="center" wrapText="1"/>
      <protection hidden="1"/>
    </xf>
    <xf numFmtId="167" fontId="26" fillId="4" borderId="6" xfId="4" applyNumberFormat="1" applyFont="1" applyFill="1" applyBorder="1" applyAlignment="1" applyProtection="1">
      <alignment horizontal="center" vertical="center" shrinkToFit="1"/>
      <protection hidden="1"/>
    </xf>
    <xf numFmtId="169" fontId="26" fillId="0" borderId="2" xfId="4" applyNumberFormat="1" applyFont="1" applyBorder="1" applyAlignment="1" applyProtection="1">
      <alignment horizontal="center" vertical="center" wrapText="1"/>
      <protection hidden="1"/>
    </xf>
    <xf numFmtId="166" fontId="27" fillId="0" borderId="0" xfId="4" applyNumberFormat="1" applyFont="1" applyAlignment="1" applyProtection="1">
      <alignment horizontal="center" vertical="center" wrapText="1"/>
      <protection hidden="1"/>
    </xf>
    <xf numFmtId="0" fontId="26" fillId="0" borderId="0" xfId="4" applyFont="1" applyAlignment="1" applyProtection="1">
      <alignment horizontal="center" vertical="center" wrapText="1"/>
      <protection hidden="1"/>
    </xf>
    <xf numFmtId="0" fontId="27" fillId="0" borderId="1" xfId="4" applyFont="1" applyBorder="1" applyAlignment="1" applyProtection="1">
      <alignment horizontal="center" vertical="center" wrapText="1"/>
      <protection hidden="1"/>
    </xf>
    <xf numFmtId="0" fontId="27" fillId="0" borderId="0" xfId="4" applyFont="1" applyAlignment="1" applyProtection="1">
      <alignment horizontal="center" vertical="center" wrapText="1"/>
      <protection hidden="1"/>
    </xf>
    <xf numFmtId="0" fontId="27" fillId="0" borderId="0" xfId="4" applyFont="1" applyAlignment="1" applyProtection="1">
      <alignment horizontal="center" vertical="center"/>
      <protection hidden="1"/>
    </xf>
    <xf numFmtId="0" fontId="27" fillId="0" borderId="7" xfId="4" applyFont="1" applyBorder="1" applyAlignment="1" applyProtection="1">
      <alignment horizontal="center" vertical="center"/>
      <protection hidden="1"/>
    </xf>
    <xf numFmtId="1" fontId="27" fillId="3" borderId="1" xfId="4" applyNumberFormat="1" applyFont="1" applyFill="1" applyBorder="1" applyAlignment="1" applyProtection="1">
      <alignment horizontal="center" vertical="center" wrapText="1"/>
      <protection hidden="1"/>
    </xf>
    <xf numFmtId="0" fontId="27" fillId="0" borderId="1" xfId="4" applyFont="1" applyBorder="1" applyAlignment="1" applyProtection="1">
      <alignment horizontal="center" vertical="center"/>
      <protection hidden="1"/>
    </xf>
    <xf numFmtId="0" fontId="27" fillId="0" borderId="6" xfId="4" applyFont="1" applyBorder="1" applyAlignment="1" applyProtection="1">
      <alignment horizontal="center" vertical="center"/>
      <protection hidden="1"/>
    </xf>
    <xf numFmtId="0" fontId="26" fillId="0" borderId="2" xfId="4" applyFont="1" applyBorder="1" applyAlignment="1" applyProtection="1">
      <alignment horizontal="center" vertical="center"/>
      <protection hidden="1"/>
    </xf>
    <xf numFmtId="0" fontId="26" fillId="0" borderId="0" xfId="4" applyFont="1" applyAlignment="1" applyProtection="1">
      <alignment horizontal="center" vertical="center"/>
      <protection hidden="1"/>
    </xf>
    <xf numFmtId="0" fontId="26" fillId="0" borderId="2" xfId="4" applyFont="1" applyBorder="1" applyAlignment="1" applyProtection="1">
      <alignment horizontal="center" vertical="center" wrapText="1"/>
      <protection hidden="1"/>
    </xf>
    <xf numFmtId="0" fontId="27" fillId="0" borderId="3" xfId="4" applyFont="1" applyBorder="1" applyAlignment="1" applyProtection="1">
      <alignment horizontal="center" vertical="center" wrapText="1"/>
      <protection hidden="1"/>
    </xf>
    <xf numFmtId="166" fontId="27" fillId="0" borderId="1" xfId="4" applyNumberFormat="1" applyFont="1" applyBorder="1" applyAlignment="1" applyProtection="1">
      <alignment horizontal="center" vertical="center" wrapText="1"/>
      <protection hidden="1"/>
    </xf>
    <xf numFmtId="166" fontId="59" fillId="0" borderId="0" xfId="4" applyNumberFormat="1" applyFont="1" applyAlignment="1" applyProtection="1">
      <alignment horizontal="left" vertical="center" wrapText="1"/>
      <protection hidden="1"/>
    </xf>
    <xf numFmtId="166" fontId="27" fillId="6" borderId="0" xfId="4" applyNumberFormat="1" applyFont="1" applyFill="1" applyAlignment="1" applyProtection="1">
      <alignment horizontal="left" vertical="center"/>
      <protection hidden="1"/>
    </xf>
    <xf numFmtId="166" fontId="27" fillId="0" borderId="0" xfId="4" applyNumberFormat="1" applyFont="1" applyAlignment="1" applyProtection="1">
      <alignment horizontal="left" vertical="center"/>
      <protection hidden="1"/>
    </xf>
    <xf numFmtId="0" fontId="26" fillId="16" borderId="6" xfId="4" applyFont="1" applyFill="1" applyBorder="1" applyAlignment="1">
      <alignment horizontal="center" vertical="center" wrapText="1"/>
    </xf>
    <xf numFmtId="0" fontId="26" fillId="16" borderId="5" xfId="4" applyFont="1" applyFill="1" applyBorder="1" applyAlignment="1" applyProtection="1">
      <alignment horizontal="center" vertical="center" wrapText="1"/>
      <protection hidden="1"/>
    </xf>
    <xf numFmtId="173" fontId="27" fillId="3" borderId="5" xfId="2" applyNumberFormat="1" applyFont="1" applyFill="1" applyBorder="1" applyAlignment="1" applyProtection="1">
      <alignment horizontal="center" vertical="center" shrinkToFit="1"/>
      <protection hidden="1"/>
    </xf>
    <xf numFmtId="173" fontId="26" fillId="18" borderId="17" xfId="2" applyNumberFormat="1" applyFont="1" applyFill="1" applyBorder="1" applyAlignment="1" applyProtection="1">
      <alignment horizontal="right" vertical="center" shrinkToFit="1"/>
    </xf>
    <xf numFmtId="49" fontId="70" fillId="0" borderId="0" xfId="2" applyNumberFormat="1" applyFont="1" applyFill="1" applyBorder="1" applyAlignment="1" applyProtection="1">
      <alignment horizontal="left" vertical="center"/>
      <protection hidden="1"/>
    </xf>
    <xf numFmtId="49" fontId="24" fillId="0" borderId="0" xfId="2" applyNumberFormat="1" applyFont="1" applyAlignment="1">
      <alignment horizontal="left" vertical="center"/>
    </xf>
    <xf numFmtId="49" fontId="70" fillId="0" borderId="0" xfId="2" applyNumberFormat="1" applyFont="1" applyAlignment="1" applyProtection="1">
      <alignment horizontal="left" vertical="center"/>
      <protection hidden="1"/>
    </xf>
    <xf numFmtId="0" fontId="24" fillId="0" borderId="0" xfId="4" applyFont="1" applyAlignment="1" applyProtection="1">
      <alignment horizontal="right" vertical="center"/>
      <protection hidden="1"/>
    </xf>
    <xf numFmtId="49" fontId="3" fillId="0" borderId="0" xfId="4" applyNumberFormat="1" applyFont="1" applyAlignment="1" applyProtection="1">
      <alignment vertical="center"/>
      <protection locked="0"/>
    </xf>
    <xf numFmtId="0" fontId="1" fillId="0" borderId="0" xfId="4" applyProtection="1">
      <protection hidden="1"/>
    </xf>
    <xf numFmtId="0" fontId="1" fillId="0" borderId="0" xfId="4" applyProtection="1">
      <protection locked="0"/>
    </xf>
    <xf numFmtId="0" fontId="3" fillId="0" borderId="0" xfId="4" applyFont="1" applyAlignment="1" applyProtection="1">
      <alignment vertical="center" wrapText="1"/>
      <protection locked="0"/>
    </xf>
    <xf numFmtId="0" fontId="41" fillId="6" borderId="0" xfId="4" applyFont="1" applyFill="1" applyAlignment="1">
      <alignment vertical="center"/>
    </xf>
    <xf numFmtId="0" fontId="1" fillId="6" borderId="0" xfId="4" applyFill="1" applyAlignment="1">
      <alignment vertical="center"/>
    </xf>
    <xf numFmtId="0" fontId="24" fillId="20" borderId="5" xfId="4" applyFont="1" applyFill="1" applyBorder="1" applyAlignment="1" applyProtection="1">
      <alignment horizontal="center" vertical="center" wrapText="1"/>
      <protection hidden="1"/>
    </xf>
    <xf numFmtId="0" fontId="7" fillId="9" borderId="0" xfId="4" applyFont="1" applyFill="1" applyAlignment="1" applyProtection="1">
      <alignment vertical="center"/>
      <protection locked="0"/>
    </xf>
    <xf numFmtId="0" fontId="5" fillId="9" borderId="0" xfId="4" applyFont="1" applyFill="1" applyAlignment="1" applyProtection="1">
      <alignment vertical="center"/>
      <protection locked="0"/>
    </xf>
    <xf numFmtId="0" fontId="1" fillId="9" borderId="0" xfId="4" applyFill="1" applyAlignment="1" applyProtection="1">
      <alignment vertical="center" shrinkToFit="1"/>
      <protection hidden="1"/>
    </xf>
    <xf numFmtId="0" fontId="5" fillId="9" borderId="0" xfId="4" applyFont="1" applyFill="1" applyAlignment="1" applyProtection="1">
      <alignment vertical="center" shrinkToFit="1"/>
      <protection hidden="1"/>
    </xf>
    <xf numFmtId="0" fontId="5" fillId="17" borderId="4" xfId="4" applyFont="1" applyFill="1" applyBorder="1" applyAlignment="1" applyProtection="1">
      <alignment vertical="center" shrinkToFit="1"/>
      <protection hidden="1"/>
    </xf>
    <xf numFmtId="0" fontId="26" fillId="0" borderId="9" xfId="4" applyFont="1" applyBorder="1" applyAlignment="1" applyProtection="1">
      <alignment horizontal="center" vertical="center" wrapText="1"/>
      <protection hidden="1"/>
    </xf>
    <xf numFmtId="0" fontId="63" fillId="0" borderId="0" xfId="4" applyFont="1" applyAlignment="1" applyProtection="1">
      <alignment horizontal="left" vertical="center"/>
      <protection hidden="1"/>
    </xf>
    <xf numFmtId="0" fontId="30" fillId="0" borderId="0" xfId="4" applyFont="1" applyAlignment="1">
      <alignment vertical="center"/>
    </xf>
    <xf numFmtId="0" fontId="81" fillId="0" borderId="0" xfId="2" applyNumberFormat="1" applyFont="1" applyFill="1" applyBorder="1" applyAlignment="1" applyProtection="1">
      <alignment horizontal="left"/>
    </xf>
    <xf numFmtId="0" fontId="30" fillId="0" borderId="0" xfId="4" applyFont="1" applyAlignment="1">
      <alignment horizontal="center" vertical="center" wrapText="1"/>
    </xf>
    <xf numFmtId="172" fontId="26" fillId="0" borderId="0" xfId="2" applyNumberFormat="1" applyFont="1" applyFill="1" applyBorder="1" applyAlignment="1" applyProtection="1">
      <alignment horizontal="center" vertical="center" wrapText="1"/>
    </xf>
    <xf numFmtId="0" fontId="27" fillId="0" borderId="0" xfId="4" applyFont="1"/>
    <xf numFmtId="0" fontId="1" fillId="0" borderId="0" xfId="4" applyAlignment="1">
      <alignment horizontal="center"/>
    </xf>
    <xf numFmtId="0" fontId="3" fillId="0" borderId="0" xfId="4" applyFont="1" applyProtection="1">
      <protection locked="0"/>
    </xf>
    <xf numFmtId="0" fontId="26" fillId="0" borderId="13" xfId="4" applyFont="1" applyBorder="1" applyAlignment="1">
      <alignment horizontal="right" vertical="center" wrapText="1"/>
    </xf>
    <xf numFmtId="170" fontId="28" fillId="2" borderId="8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4" applyFont="1" applyAlignment="1" applyProtection="1">
      <alignment wrapText="1"/>
      <protection locked="0"/>
    </xf>
    <xf numFmtId="0" fontId="40" fillId="0" borderId="0" xfId="4" applyFont="1" applyAlignment="1">
      <alignment vertical="center"/>
    </xf>
    <xf numFmtId="0" fontId="16" fillId="0" borderId="0" xfId="4" applyFont="1" applyAlignment="1">
      <alignment vertical="center" wrapText="1"/>
    </xf>
    <xf numFmtId="0" fontId="7" fillId="0" borderId="0" xfId="4" applyFont="1" applyAlignment="1">
      <alignment vertical="center"/>
    </xf>
    <xf numFmtId="0" fontId="5" fillId="0" borderId="0" xfId="4" applyFont="1" applyAlignment="1">
      <alignment vertical="center" wrapText="1"/>
    </xf>
    <xf numFmtId="0" fontId="8" fillId="0" borderId="0" xfId="4" applyFont="1" applyAlignment="1">
      <alignment vertical="center" wrapText="1"/>
    </xf>
    <xf numFmtId="0" fontId="7" fillId="0" borderId="0" xfId="4" applyFont="1" applyAlignment="1">
      <alignment horizontal="right" vertical="center"/>
    </xf>
    <xf numFmtId="0" fontId="7" fillId="0" borderId="0" xfId="4" applyFont="1" applyAlignment="1">
      <alignment horizontal="right" vertical="center" wrapText="1"/>
    </xf>
    <xf numFmtId="0" fontId="5" fillId="0" borderId="0" xfId="4" applyFont="1" applyAlignment="1" applyProtection="1">
      <alignment horizontal="left" vertical="center"/>
      <protection locked="0"/>
    </xf>
    <xf numFmtId="0" fontId="5" fillId="0" borderId="0" xfId="4" applyFont="1" applyAlignment="1">
      <alignment horizontal="left" vertical="center"/>
    </xf>
    <xf numFmtId="0" fontId="26" fillId="0" borderId="1" xfId="4" applyFont="1" applyBorder="1" applyAlignment="1">
      <alignment horizontal="right" vertical="center" wrapText="1"/>
    </xf>
    <xf numFmtId="0" fontId="5" fillId="0" borderId="0" xfId="4" applyFont="1" applyProtection="1">
      <protection locked="0"/>
    </xf>
    <xf numFmtId="0" fontId="5" fillId="0" borderId="0" xfId="4" applyFont="1" applyAlignment="1" applyProtection="1">
      <alignment vertical="center" wrapText="1"/>
      <protection locked="0"/>
    </xf>
    <xf numFmtId="0" fontId="12" fillId="0" borderId="0" xfId="4" applyFont="1" applyAlignment="1" applyProtection="1">
      <alignment vertical="center"/>
      <protection locked="0"/>
    </xf>
    <xf numFmtId="0" fontId="1" fillId="0" borderId="0" xfId="4" applyAlignment="1" applyProtection="1">
      <alignment horizontal="center" vertical="center"/>
      <protection locked="0"/>
    </xf>
    <xf numFmtId="171" fontId="27" fillId="3" borderId="5" xfId="7" applyNumberFormat="1" applyFont="1" applyFill="1" applyBorder="1" applyAlignment="1" applyProtection="1">
      <alignment horizontal="center" vertical="center"/>
    </xf>
    <xf numFmtId="173" fontId="1" fillId="0" borderId="0" xfId="4" applyNumberFormat="1"/>
    <xf numFmtId="168" fontId="5" fillId="0" borderId="0" xfId="4" applyNumberFormat="1" applyFont="1" applyAlignment="1" applyProtection="1">
      <alignment horizontal="right" vertical="center" wrapText="1"/>
      <protection locked="0"/>
    </xf>
    <xf numFmtId="0" fontId="5" fillId="0" borderId="0" xfId="4" applyFont="1" applyAlignment="1">
      <alignment horizontal="left" vertical="center" wrapText="1"/>
    </xf>
    <xf numFmtId="0" fontId="5" fillId="0" borderId="0" xfId="4" applyFont="1" applyAlignment="1">
      <alignment horizontal="right" vertical="center"/>
    </xf>
    <xf numFmtId="0" fontId="45" fillId="0" borderId="0" xfId="4" applyFont="1" applyAlignment="1">
      <alignment horizontal="left" vertical="center"/>
    </xf>
    <xf numFmtId="0" fontId="26" fillId="0" borderId="3" xfId="4" applyFont="1" applyBorder="1" applyAlignment="1">
      <alignment horizontal="left" vertical="center" wrapText="1"/>
    </xf>
    <xf numFmtId="0" fontId="26" fillId="0" borderId="0" xfId="4" applyFont="1" applyAlignment="1">
      <alignment horizontal="right" vertical="center" wrapText="1"/>
    </xf>
    <xf numFmtId="0" fontId="11" fillId="0" borderId="0" xfId="4" applyFont="1" applyAlignment="1">
      <alignment horizontal="center" vertical="center" wrapText="1"/>
    </xf>
    <xf numFmtId="168" fontId="5" fillId="0" borderId="0" xfId="4" applyNumberFormat="1" applyFont="1" applyAlignment="1">
      <alignment horizontal="right" vertical="center" wrapText="1"/>
    </xf>
    <xf numFmtId="0" fontId="3" fillId="0" borderId="0" xfId="4" applyFont="1"/>
    <xf numFmtId="0" fontId="1" fillId="0" borderId="14" xfId="4" applyBorder="1" applyAlignment="1">
      <alignment vertical="center"/>
    </xf>
    <xf numFmtId="0" fontId="85" fillId="0" borderId="18" xfId="4" applyFont="1" applyBorder="1" applyAlignment="1" applyProtection="1">
      <alignment vertical="center"/>
      <protection hidden="1"/>
    </xf>
    <xf numFmtId="0" fontId="26" fillId="0" borderId="3" xfId="4" applyFont="1" applyBorder="1" applyAlignment="1">
      <alignment horizontal="center" vertical="center" wrapText="1"/>
    </xf>
    <xf numFmtId="0" fontId="30" fillId="0" borderId="0" xfId="4" applyFont="1" applyAlignment="1">
      <alignment vertical="center" wrapText="1"/>
    </xf>
    <xf numFmtId="0" fontId="6" fillId="0" borderId="0" xfId="4" applyFont="1" applyAlignment="1">
      <alignment vertical="center" wrapText="1"/>
    </xf>
    <xf numFmtId="0" fontId="2" fillId="0" borderId="0" xfId="4" applyFont="1" applyAlignment="1">
      <alignment horizontal="center" vertical="center" wrapText="1"/>
    </xf>
    <xf numFmtId="0" fontId="3" fillId="0" borderId="0" xfId="4" applyFont="1" applyAlignment="1">
      <alignment horizontal="center" vertical="center" wrapText="1"/>
    </xf>
    <xf numFmtId="0" fontId="1" fillId="0" borderId="0" xfId="4" applyAlignment="1">
      <alignment horizontal="center" vertical="center"/>
    </xf>
    <xf numFmtId="0" fontId="4" fillId="0" borderId="0" xfId="4" applyFont="1" applyAlignment="1">
      <alignment vertical="center" wrapText="1"/>
    </xf>
    <xf numFmtId="0" fontId="26" fillId="10" borderId="5" xfId="4" applyFont="1" applyFill="1" applyBorder="1" applyAlignment="1">
      <alignment horizontal="center" vertical="center" wrapText="1"/>
    </xf>
    <xf numFmtId="0" fontId="26" fillId="0" borderId="10" xfId="4" applyFont="1" applyBorder="1" applyAlignment="1">
      <alignment horizontal="center" vertical="center" wrapText="1"/>
    </xf>
    <xf numFmtId="0" fontId="26" fillId="0" borderId="3" xfId="4" applyFont="1" applyBorder="1" applyAlignment="1" applyProtection="1">
      <alignment horizontal="center" vertical="center" wrapText="1"/>
      <protection hidden="1"/>
    </xf>
    <xf numFmtId="49" fontId="27" fillId="3" borderId="5" xfId="4" applyNumberFormat="1" applyFont="1" applyFill="1" applyBorder="1" applyAlignment="1" applyProtection="1">
      <alignment horizontal="center" vertical="center" wrapText="1"/>
      <protection hidden="1"/>
    </xf>
    <xf numFmtId="0" fontId="27" fillId="3" borderId="3" xfId="4" applyFont="1" applyFill="1" applyBorder="1" applyAlignment="1">
      <alignment horizontal="center" vertical="center" wrapText="1"/>
    </xf>
    <xf numFmtId="0" fontId="27" fillId="3" borderId="5" xfId="4" applyFont="1" applyFill="1" applyBorder="1" applyAlignment="1">
      <alignment horizontal="center" vertical="center" wrapText="1"/>
    </xf>
    <xf numFmtId="0" fontId="27" fillId="3" borderId="6" xfId="4" applyFont="1" applyFill="1" applyBorder="1" applyAlignment="1">
      <alignment horizontal="center" vertical="center" wrapText="1"/>
    </xf>
    <xf numFmtId="167" fontId="27" fillId="3" borderId="6" xfId="4" applyNumberFormat="1" applyFont="1" applyFill="1" applyBorder="1" applyAlignment="1">
      <alignment horizontal="center" vertical="center"/>
    </xf>
    <xf numFmtId="49" fontId="27" fillId="3" borderId="22" xfId="4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4" applyFont="1" applyAlignment="1">
      <alignment horizontal="center" vertical="center"/>
    </xf>
    <xf numFmtId="49" fontId="66" fillId="0" borderId="0" xfId="4" applyNumberFormat="1" applyFont="1" applyAlignment="1">
      <alignment horizontal="left" vertical="center"/>
    </xf>
    <xf numFmtId="0" fontId="18" fillId="0" borderId="0" xfId="4" applyFont="1" applyAlignment="1">
      <alignment vertical="center"/>
    </xf>
    <xf numFmtId="0" fontId="21" fillId="0" borderId="4" xfId="4" applyFont="1" applyBorder="1" applyAlignment="1">
      <alignment vertical="center"/>
    </xf>
    <xf numFmtId="0" fontId="21" fillId="0" borderId="0" xfId="4" applyFont="1" applyAlignment="1">
      <alignment vertical="center"/>
    </xf>
    <xf numFmtId="0" fontId="20" fillId="0" borderId="0" xfId="4" applyFont="1"/>
    <xf numFmtId="0" fontId="21" fillId="0" borderId="0" xfId="4" applyFont="1"/>
    <xf numFmtId="0" fontId="21" fillId="0" borderId="0" xfId="4" applyFont="1" applyProtection="1">
      <protection locked="0"/>
    </xf>
    <xf numFmtId="0" fontId="20" fillId="0" borderId="0" xfId="4" applyFont="1" applyProtection="1">
      <protection locked="0"/>
    </xf>
    <xf numFmtId="44" fontId="0" fillId="0" borderId="0" xfId="7" applyFont="1" applyProtection="1"/>
    <xf numFmtId="0" fontId="12" fillId="9" borderId="0" xfId="4" applyFont="1" applyFill="1" applyAlignment="1" applyProtection="1">
      <alignment vertical="center"/>
      <protection locked="0"/>
    </xf>
    <xf numFmtId="0" fontId="77" fillId="9" borderId="0" xfId="4" applyFont="1" applyFill="1" applyAlignment="1" applyProtection="1">
      <alignment vertical="center"/>
      <protection locked="0"/>
    </xf>
    <xf numFmtId="0" fontId="12" fillId="0" borderId="0" xfId="4" applyFont="1" applyProtection="1">
      <protection locked="0"/>
    </xf>
    <xf numFmtId="0" fontId="2" fillId="0" borderId="0" xfId="4" applyFont="1" applyProtection="1">
      <protection locked="0"/>
    </xf>
    <xf numFmtId="0" fontId="76" fillId="9" borderId="0" xfId="4" applyFont="1" applyFill="1" applyAlignment="1" applyProtection="1">
      <alignment vertical="center"/>
      <protection hidden="1"/>
    </xf>
    <xf numFmtId="179" fontId="1" fillId="0" borderId="0" xfId="7" applyNumberFormat="1" applyFont="1" applyAlignment="1">
      <alignment vertical="center"/>
    </xf>
    <xf numFmtId="0" fontId="1" fillId="9" borderId="0" xfId="4" applyFill="1" applyAlignment="1" applyProtection="1">
      <alignment vertical="center"/>
      <protection hidden="1"/>
    </xf>
    <xf numFmtId="0" fontId="80" fillId="9" borderId="0" xfId="4" applyFont="1" applyFill="1" applyAlignment="1" applyProtection="1">
      <alignment vertical="center" wrapText="1"/>
      <protection hidden="1"/>
    </xf>
    <xf numFmtId="173" fontId="1" fillId="0" borderId="0" xfId="4" applyNumberFormat="1" applyAlignment="1">
      <alignment vertical="center"/>
    </xf>
    <xf numFmtId="0" fontId="5" fillId="9" borderId="0" xfId="4" applyFont="1" applyFill="1" applyAlignment="1" applyProtection="1">
      <alignment vertical="center"/>
      <protection hidden="1"/>
    </xf>
    <xf numFmtId="0" fontId="80" fillId="9" borderId="0" xfId="4" applyFont="1" applyFill="1" applyProtection="1">
      <protection hidden="1"/>
    </xf>
    <xf numFmtId="0" fontId="5" fillId="0" borderId="0" xfId="4" applyFont="1"/>
    <xf numFmtId="171" fontId="1" fillId="0" borderId="0" xfId="4" applyNumberFormat="1" applyAlignment="1">
      <alignment vertical="center"/>
    </xf>
    <xf numFmtId="0" fontId="37" fillId="6" borderId="0" xfId="4" applyFont="1" applyFill="1" applyAlignment="1">
      <alignment horizontal="left" vertical="center"/>
    </xf>
    <xf numFmtId="0" fontId="20" fillId="6" borderId="0" xfId="4" applyFont="1" applyFill="1" applyAlignment="1">
      <alignment horizontal="right" vertical="center" wrapText="1"/>
    </xf>
    <xf numFmtId="0" fontId="21" fillId="0" borderId="0" xfId="4" applyFont="1" applyAlignment="1">
      <alignment horizontal="center" vertical="center" wrapText="1"/>
    </xf>
    <xf numFmtId="0" fontId="31" fillId="0" borderId="14" xfId="4" applyFont="1" applyBorder="1" applyAlignment="1">
      <alignment horizontal="center" vertical="center" wrapText="1"/>
    </xf>
    <xf numFmtId="0" fontId="26" fillId="15" borderId="5" xfId="4" applyFont="1" applyFill="1" applyBorder="1" applyAlignment="1" applyProtection="1">
      <alignment horizontal="center" vertical="center" wrapText="1"/>
      <protection hidden="1"/>
    </xf>
    <xf numFmtId="0" fontId="31" fillId="15" borderId="5" xfId="4" applyFont="1" applyFill="1" applyBorder="1" applyAlignment="1" applyProtection="1">
      <alignment horizontal="center" vertical="center" wrapText="1"/>
      <protection hidden="1"/>
    </xf>
    <xf numFmtId="0" fontId="31" fillId="14" borderId="5" xfId="4" applyFont="1" applyFill="1" applyBorder="1" applyAlignment="1" applyProtection="1">
      <alignment horizontal="center" vertical="center" wrapText="1"/>
      <protection hidden="1"/>
    </xf>
    <xf numFmtId="0" fontId="26" fillId="14" borderId="5" xfId="4" applyFont="1" applyFill="1" applyBorder="1" applyAlignment="1" applyProtection="1">
      <alignment horizontal="center" vertical="center" wrapText="1"/>
      <protection hidden="1"/>
    </xf>
    <xf numFmtId="0" fontId="26" fillId="13" borderId="5" xfId="4" applyFont="1" applyFill="1" applyBorder="1" applyAlignment="1" applyProtection="1">
      <alignment horizontal="center" vertical="center" wrapText="1"/>
      <protection hidden="1"/>
    </xf>
    <xf numFmtId="0" fontId="12" fillId="0" borderId="0" xfId="4" applyFont="1"/>
    <xf numFmtId="0" fontId="12" fillId="0" borderId="0" xfId="4" applyFont="1" applyAlignment="1">
      <alignment horizontal="center"/>
    </xf>
    <xf numFmtId="0" fontId="33" fillId="11" borderId="5" xfId="4" applyFont="1" applyFill="1" applyBorder="1" applyAlignment="1">
      <alignment horizontal="center" vertical="center" wrapText="1"/>
    </xf>
    <xf numFmtId="0" fontId="27" fillId="0" borderId="9" xfId="4" applyFont="1" applyBorder="1" applyAlignment="1">
      <alignment horizontal="center" vertical="center" wrapText="1"/>
    </xf>
    <xf numFmtId="0" fontId="30" fillId="17" borderId="3" xfId="4" applyFont="1" applyFill="1" applyBorder="1" applyAlignment="1" applyProtection="1">
      <alignment vertical="center" wrapText="1"/>
      <protection hidden="1"/>
    </xf>
    <xf numFmtId="0" fontId="30" fillId="17" borderId="1" xfId="4" applyFont="1" applyFill="1" applyBorder="1" applyAlignment="1" applyProtection="1">
      <alignment vertical="center" wrapText="1"/>
      <protection hidden="1"/>
    </xf>
    <xf numFmtId="0" fontId="30" fillId="17" borderId="6" xfId="4" applyFont="1" applyFill="1" applyBorder="1" applyAlignment="1" applyProtection="1">
      <alignment vertical="center" wrapText="1"/>
      <protection hidden="1"/>
    </xf>
    <xf numFmtId="0" fontId="1" fillId="0" borderId="0" xfId="4" applyAlignment="1" applyProtection="1">
      <alignment horizontal="center"/>
      <protection locked="0"/>
    </xf>
    <xf numFmtId="0" fontId="49" fillId="0" borderId="0" xfId="4" applyFont="1"/>
    <xf numFmtId="0" fontId="49" fillId="0" borderId="0" xfId="4" applyFont="1" applyAlignment="1">
      <alignment horizontal="center"/>
    </xf>
    <xf numFmtId="0" fontId="47" fillId="0" borderId="0" xfId="4" applyFont="1" applyAlignment="1">
      <alignment vertical="center"/>
    </xf>
    <xf numFmtId="0" fontId="46" fillId="0" borderId="0" xfId="4" applyFont="1"/>
    <xf numFmtId="0" fontId="31" fillId="0" borderId="13" xfId="4" applyFont="1" applyBorder="1" applyAlignment="1">
      <alignment horizontal="right" vertical="center" wrapText="1"/>
    </xf>
    <xf numFmtId="0" fontId="31" fillId="0" borderId="15" xfId="4" applyFont="1" applyBorder="1" applyAlignment="1">
      <alignment horizontal="right" vertical="center" wrapText="1"/>
    </xf>
    <xf numFmtId="0" fontId="31" fillId="0" borderId="13" xfId="4" applyFont="1" applyBorder="1" applyAlignment="1">
      <alignment horizontal="center" vertical="center" wrapText="1"/>
    </xf>
    <xf numFmtId="0" fontId="49" fillId="0" borderId="0" xfId="4" applyFont="1" applyAlignment="1">
      <alignment vertical="center"/>
    </xf>
    <xf numFmtId="0" fontId="46" fillId="0" borderId="0" xfId="4" applyFont="1" applyAlignment="1">
      <alignment vertical="center" wrapText="1"/>
    </xf>
    <xf numFmtId="0" fontId="50" fillId="0" borderId="0" xfId="4" applyFont="1" applyAlignment="1">
      <alignment vertical="center"/>
    </xf>
    <xf numFmtId="0" fontId="49" fillId="0" borderId="0" xfId="4" applyFont="1" applyAlignment="1">
      <alignment vertical="center" wrapText="1"/>
    </xf>
    <xf numFmtId="0" fontId="33" fillId="0" borderId="0" xfId="4" applyFont="1" applyAlignment="1">
      <alignment vertical="center"/>
    </xf>
    <xf numFmtId="0" fontId="33" fillId="0" borderId="0" xfId="4" applyFont="1" applyAlignment="1">
      <alignment horizontal="right" vertical="center"/>
    </xf>
    <xf numFmtId="0" fontId="33" fillId="0" borderId="0" xfId="4" applyFont="1" applyAlignment="1">
      <alignment horizontal="right" vertical="center" wrapText="1"/>
    </xf>
    <xf numFmtId="0" fontId="53" fillId="0" borderId="0" xfId="4" applyFont="1" applyAlignment="1">
      <alignment horizontal="left" vertical="center" wrapText="1"/>
    </xf>
    <xf numFmtId="0" fontId="49" fillId="0" borderId="0" xfId="4" applyFont="1" applyAlignment="1">
      <alignment horizontal="left" vertical="center" wrapText="1"/>
    </xf>
    <xf numFmtId="0" fontId="51" fillId="0" borderId="0" xfId="4" applyFont="1" applyAlignment="1">
      <alignment horizontal="left" vertical="center" wrapText="1"/>
    </xf>
    <xf numFmtId="0" fontId="51" fillId="0" borderId="0" xfId="4" applyFont="1" applyAlignment="1">
      <alignment horizontal="left" vertical="center" wrapText="1" indent="1"/>
    </xf>
    <xf numFmtId="0" fontId="46" fillId="0" borderId="0" xfId="4" applyFont="1" applyAlignment="1">
      <alignment vertical="center"/>
    </xf>
    <xf numFmtId="0" fontId="33" fillId="0" borderId="2" xfId="4" applyFont="1" applyBorder="1" applyAlignment="1">
      <alignment horizontal="right" vertical="center" wrapText="1"/>
    </xf>
    <xf numFmtId="0" fontId="46" fillId="0" borderId="0" xfId="4" applyFont="1" applyAlignment="1">
      <alignment horizontal="right" vertical="center" wrapText="1"/>
    </xf>
    <xf numFmtId="0" fontId="47" fillId="0" borderId="0" xfId="4" applyFont="1" applyProtection="1">
      <protection locked="0"/>
    </xf>
    <xf numFmtId="0" fontId="26" fillId="0" borderId="7" xfId="4" applyFont="1" applyBorder="1" applyAlignment="1">
      <alignment horizontal="right" vertical="center" wrapText="1"/>
    </xf>
    <xf numFmtId="0" fontId="49" fillId="0" borderId="0" xfId="4" applyFont="1" applyAlignment="1" applyProtection="1">
      <alignment vertical="center"/>
      <protection locked="0"/>
    </xf>
    <xf numFmtId="0" fontId="38" fillId="0" borderId="0" xfId="4" applyFont="1" applyAlignment="1" applyProtection="1">
      <alignment vertical="center"/>
      <protection locked="0"/>
    </xf>
    <xf numFmtId="0" fontId="49" fillId="0" borderId="0" xfId="4" applyFont="1" applyProtection="1">
      <protection locked="0"/>
    </xf>
    <xf numFmtId="0" fontId="49" fillId="0" borderId="0" xfId="4" applyFont="1" applyAlignment="1" applyProtection="1">
      <alignment horizontal="center" vertical="center"/>
      <protection locked="0"/>
    </xf>
    <xf numFmtId="0" fontId="51" fillId="0" borderId="19" xfId="4" applyFont="1" applyBorder="1" applyAlignment="1">
      <alignment horizontal="left" vertical="center" wrapText="1" indent="1"/>
    </xf>
    <xf numFmtId="0" fontId="55" fillId="0" borderId="0" xfId="4" applyFont="1" applyAlignment="1">
      <alignment vertical="center"/>
    </xf>
    <xf numFmtId="0" fontId="53" fillId="0" borderId="0" xfId="4" applyFont="1" applyAlignment="1">
      <alignment vertical="center" wrapText="1"/>
    </xf>
    <xf numFmtId="0" fontId="35" fillId="0" borderId="0" xfId="4" applyFont="1" applyAlignment="1">
      <alignment vertical="center"/>
    </xf>
    <xf numFmtId="5" fontId="35" fillId="0" borderId="0" xfId="4" applyNumberFormat="1" applyFont="1" applyAlignment="1">
      <alignment vertical="center"/>
    </xf>
    <xf numFmtId="5" fontId="55" fillId="0" borderId="0" xfId="4" applyNumberFormat="1" applyFont="1" applyAlignment="1">
      <alignment vertical="center"/>
    </xf>
    <xf numFmtId="7" fontId="55" fillId="0" borderId="0" xfId="4" applyNumberFormat="1" applyFont="1" applyAlignment="1">
      <alignment vertical="center"/>
    </xf>
    <xf numFmtId="0" fontId="36" fillId="0" borderId="0" xfId="4" applyFont="1" applyAlignment="1">
      <alignment horizontal="center" vertical="center" wrapText="1"/>
    </xf>
    <xf numFmtId="0" fontId="36" fillId="0" borderId="0" xfId="4" applyFont="1" applyAlignment="1">
      <alignment vertical="center" wrapText="1"/>
    </xf>
    <xf numFmtId="5" fontId="46" fillId="0" borderId="0" xfId="4" applyNumberFormat="1" applyFont="1" applyAlignment="1">
      <alignment vertical="center"/>
    </xf>
    <xf numFmtId="0" fontId="49" fillId="0" borderId="0" xfId="4" applyFont="1" applyAlignment="1">
      <alignment horizontal="center" vertical="center"/>
    </xf>
    <xf numFmtId="0" fontId="31" fillId="0" borderId="12" xfId="4" applyFont="1" applyBorder="1" applyAlignment="1">
      <alignment horizontal="center" vertical="center" wrapText="1"/>
    </xf>
    <xf numFmtId="0" fontId="31" fillId="0" borderId="0" xfId="4" applyFont="1" applyAlignment="1">
      <alignment horizontal="center" vertical="center" wrapText="1"/>
    </xf>
    <xf numFmtId="0" fontId="58" fillId="0" borderId="5" xfId="4" applyFont="1" applyBorder="1" applyAlignment="1">
      <alignment horizontal="center" vertical="center" wrapText="1"/>
    </xf>
    <xf numFmtId="0" fontId="31" fillId="0" borderId="5" xfId="4" applyFont="1" applyBorder="1" applyAlignment="1">
      <alignment horizontal="center" vertical="center" wrapText="1"/>
    </xf>
    <xf numFmtId="174" fontId="27" fillId="3" borderId="5" xfId="4" applyNumberFormat="1" applyFont="1" applyFill="1" applyBorder="1" applyAlignment="1" applyProtection="1">
      <alignment horizontal="center" vertical="center" shrinkToFit="1"/>
      <protection hidden="1"/>
    </xf>
    <xf numFmtId="0" fontId="30" fillId="2" borderId="5" xfId="4" applyFont="1" applyFill="1" applyBorder="1" applyAlignment="1" applyProtection="1">
      <alignment horizontal="center" vertical="center" shrinkToFit="1"/>
      <protection locked="0"/>
    </xf>
    <xf numFmtId="0" fontId="31" fillId="0" borderId="3" xfId="4" applyFont="1" applyBorder="1" applyAlignment="1">
      <alignment horizontal="center" vertical="center" wrapText="1"/>
    </xf>
    <xf numFmtId="0" fontId="27" fillId="2" borderId="5" xfId="4" applyFont="1" applyFill="1" applyBorder="1" applyAlignment="1" applyProtection="1">
      <alignment horizontal="center" vertical="center" shrinkToFit="1"/>
      <protection locked="0"/>
    </xf>
    <xf numFmtId="174" fontId="30" fillId="5" borderId="5" xfId="4" applyNumberFormat="1" applyFont="1" applyFill="1" applyBorder="1" applyAlignment="1" applyProtection="1">
      <alignment horizontal="center" vertical="center" shrinkToFit="1"/>
      <protection locked="0"/>
    </xf>
    <xf numFmtId="0" fontId="31" fillId="0" borderId="0" xfId="4" applyFont="1" applyAlignment="1">
      <alignment horizontal="right" vertical="center" wrapText="1"/>
    </xf>
    <xf numFmtId="0" fontId="38" fillId="0" borderId="0" xfId="4" applyFont="1" applyAlignment="1">
      <alignment horizontal="center" vertical="center" shrinkToFit="1"/>
    </xf>
    <xf numFmtId="0" fontId="38" fillId="0" borderId="0" xfId="4" applyFont="1" applyAlignment="1">
      <alignment vertical="center" shrinkToFit="1"/>
    </xf>
    <xf numFmtId="0" fontId="38" fillId="0" borderId="0" xfId="4" applyFont="1" applyAlignment="1">
      <alignment vertical="center"/>
    </xf>
    <xf numFmtId="0" fontId="57" fillId="0" borderId="0" xfId="4" applyFont="1" applyAlignment="1">
      <alignment vertical="center"/>
    </xf>
    <xf numFmtId="0" fontId="38" fillId="0" borderId="0" xfId="4" applyFont="1" applyAlignment="1">
      <alignment horizontal="center" vertical="center"/>
    </xf>
    <xf numFmtId="0" fontId="31" fillId="0" borderId="2" xfId="4" applyFont="1" applyBorder="1" applyAlignment="1">
      <alignment vertical="center" wrapText="1"/>
    </xf>
    <xf numFmtId="0" fontId="53" fillId="0" borderId="0" xfId="4" applyFont="1" applyAlignment="1" applyProtection="1">
      <alignment vertical="center" wrapText="1"/>
      <protection locked="0"/>
    </xf>
    <xf numFmtId="0" fontId="46" fillId="0" borderId="0" xfId="4" applyFont="1" applyAlignment="1">
      <alignment wrapText="1"/>
    </xf>
    <xf numFmtId="0" fontId="58" fillId="0" borderId="14" xfId="4" applyFont="1" applyBorder="1" applyAlignment="1">
      <alignment horizontal="center" vertical="center" wrapText="1"/>
    </xf>
    <xf numFmtId="49" fontId="30" fillId="3" borderId="9" xfId="4" applyNumberFormat="1" applyFont="1" applyFill="1" applyBorder="1" applyAlignment="1" applyProtection="1">
      <alignment horizontal="center" vertical="center" shrinkToFit="1"/>
      <protection hidden="1"/>
    </xf>
    <xf numFmtId="0" fontId="30" fillId="3" borderId="14" xfId="4" applyFont="1" applyFill="1" applyBorder="1" applyAlignment="1">
      <alignment horizontal="center" vertical="center" wrapText="1"/>
    </xf>
    <xf numFmtId="0" fontId="30" fillId="3" borderId="5" xfId="4" applyFont="1" applyFill="1" applyBorder="1" applyAlignment="1">
      <alignment horizontal="center" vertical="center"/>
    </xf>
    <xf numFmtId="0" fontId="42" fillId="0" borderId="4" xfId="4" applyFont="1" applyBorder="1" applyAlignment="1">
      <alignment horizontal="center" vertical="center" wrapText="1"/>
    </xf>
    <xf numFmtId="0" fontId="30" fillId="3" borderId="9" xfId="4" applyFont="1" applyFill="1" applyBorder="1" applyAlignment="1">
      <alignment horizontal="center" vertical="center" wrapText="1"/>
    </xf>
    <xf numFmtId="0" fontId="30" fillId="0" borderId="14" xfId="4" applyFont="1" applyBorder="1" applyAlignment="1">
      <alignment horizontal="center" vertical="center" wrapText="1"/>
    </xf>
    <xf numFmtId="49" fontId="30" fillId="3" borderId="5" xfId="4" applyNumberFormat="1" applyFont="1" applyFill="1" applyBorder="1" applyAlignment="1" applyProtection="1">
      <alignment horizontal="center" vertical="center" shrinkToFit="1"/>
      <protection hidden="1"/>
    </xf>
    <xf numFmtId="174" fontId="27" fillId="3" borderId="3" xfId="4" applyNumberFormat="1" applyFont="1" applyFill="1" applyBorder="1" applyAlignment="1">
      <alignment horizontal="center" vertical="center"/>
    </xf>
    <xf numFmtId="5" fontId="49" fillId="0" borderId="0" xfId="4" applyNumberFormat="1" applyFont="1" applyAlignment="1">
      <alignment vertical="center"/>
    </xf>
    <xf numFmtId="0" fontId="66" fillId="0" borderId="0" xfId="4" applyFont="1" applyAlignment="1">
      <alignment vertical="center"/>
    </xf>
    <xf numFmtId="0" fontId="63" fillId="0" borderId="0" xfId="4" applyFont="1" applyAlignment="1">
      <alignment vertical="center"/>
    </xf>
    <xf numFmtId="0" fontId="64" fillId="0" borderId="0" xfId="4" applyFont="1" applyAlignment="1">
      <alignment vertical="center"/>
    </xf>
    <xf numFmtId="0" fontId="65" fillId="0" borderId="0" xfId="4" applyFont="1" applyAlignment="1">
      <alignment vertical="center"/>
    </xf>
    <xf numFmtId="0" fontId="37" fillId="6" borderId="4" xfId="4" applyFont="1" applyFill="1" applyBorder="1" applyAlignment="1">
      <alignment horizontal="left" vertical="center"/>
    </xf>
    <xf numFmtId="0" fontId="49" fillId="0" borderId="4" xfId="4" applyFont="1" applyBorder="1" applyAlignment="1">
      <alignment vertical="center"/>
    </xf>
    <xf numFmtId="0" fontId="31" fillId="0" borderId="3" xfId="4" applyFont="1" applyBorder="1" applyAlignment="1" applyProtection="1">
      <alignment horizontal="center" vertical="center" shrinkToFit="1"/>
      <protection hidden="1"/>
    </xf>
    <xf numFmtId="0" fontId="27" fillId="3" borderId="1" xfId="4" applyFont="1" applyFill="1" applyBorder="1" applyAlignment="1" applyProtection="1">
      <alignment horizontal="center" vertical="center" shrinkToFit="1"/>
      <protection hidden="1"/>
    </xf>
    <xf numFmtId="0" fontId="37" fillId="0" borderId="0" xfId="4" applyFont="1" applyAlignment="1">
      <alignment vertical="center"/>
    </xf>
    <xf numFmtId="0" fontId="46" fillId="0" borderId="0" xfId="4" applyFont="1" applyAlignment="1">
      <alignment horizontal="center" vertical="center" wrapText="1"/>
    </xf>
    <xf numFmtId="180" fontId="61" fillId="0" borderId="0" xfId="4" applyNumberFormat="1" applyFont="1" applyAlignment="1" applyProtection="1">
      <alignment vertical="center"/>
      <protection hidden="1"/>
    </xf>
    <xf numFmtId="180" fontId="49" fillId="0" borderId="0" xfId="4" applyNumberFormat="1" applyFont="1" applyAlignment="1" applyProtection="1">
      <alignment vertical="center"/>
      <protection hidden="1"/>
    </xf>
    <xf numFmtId="0" fontId="47" fillId="9" borderId="10" xfId="4" applyFont="1" applyFill="1" applyBorder="1" applyAlignment="1" applyProtection="1">
      <alignment horizontal="center" vertical="center"/>
      <protection locked="0"/>
    </xf>
    <xf numFmtId="0" fontId="47" fillId="9" borderId="0" xfId="4" applyFont="1" applyFill="1" applyAlignment="1" applyProtection="1">
      <alignment vertical="center"/>
      <protection locked="0"/>
    </xf>
    <xf numFmtId="0" fontId="47" fillId="9" borderId="0" xfId="4" applyFont="1" applyFill="1" applyAlignment="1" applyProtection="1">
      <alignment vertical="center"/>
      <protection locked="0" hidden="1"/>
    </xf>
    <xf numFmtId="0" fontId="49" fillId="9" borderId="7" xfId="4" applyFont="1" applyFill="1" applyBorder="1" applyAlignment="1" applyProtection="1">
      <alignment horizontal="center" vertical="center"/>
      <protection hidden="1"/>
    </xf>
    <xf numFmtId="0" fontId="59" fillId="9" borderId="0" xfId="4" applyFont="1" applyFill="1" applyAlignment="1" applyProtection="1">
      <alignment horizontal="center" vertical="center" wrapText="1"/>
      <protection hidden="1"/>
    </xf>
    <xf numFmtId="0" fontId="49" fillId="9" borderId="0" xfId="4" applyFont="1" applyFill="1" applyAlignment="1" applyProtection="1">
      <alignment vertical="center"/>
      <protection hidden="1"/>
    </xf>
    <xf numFmtId="0" fontId="47" fillId="9" borderId="0" xfId="4" applyFont="1" applyFill="1" applyAlignment="1" applyProtection="1">
      <alignment horizontal="center" vertical="center"/>
      <protection hidden="1"/>
    </xf>
    <xf numFmtId="0" fontId="59" fillId="9" borderId="0" xfId="4" applyFont="1" applyFill="1" applyAlignment="1" applyProtection="1">
      <alignment horizontal="left" vertical="center" wrapText="1"/>
      <protection hidden="1"/>
    </xf>
    <xf numFmtId="0" fontId="47" fillId="9" borderId="0" xfId="4" applyFont="1" applyFill="1" applyAlignment="1" applyProtection="1">
      <alignment horizontal="left" vertical="center"/>
      <protection hidden="1"/>
    </xf>
    <xf numFmtId="0" fontId="47" fillId="9" borderId="0" xfId="4" applyFont="1" applyFill="1" applyAlignment="1" applyProtection="1">
      <alignment vertical="center"/>
      <protection hidden="1"/>
    </xf>
    <xf numFmtId="0" fontId="46" fillId="9" borderId="0" xfId="4" applyFont="1" applyFill="1" applyAlignment="1" applyProtection="1">
      <alignment vertical="center"/>
      <protection hidden="1"/>
    </xf>
    <xf numFmtId="9" fontId="49" fillId="9" borderId="0" xfId="4" applyNumberFormat="1" applyFont="1" applyFill="1" applyAlignment="1" applyProtection="1">
      <alignment vertical="center"/>
      <protection hidden="1"/>
    </xf>
    <xf numFmtId="0" fontId="1" fillId="9" borderId="0" xfId="4" applyFill="1" applyProtection="1">
      <protection hidden="1"/>
    </xf>
    <xf numFmtId="0" fontId="53" fillId="0" borderId="0" xfId="4" applyFont="1" applyAlignment="1" applyProtection="1">
      <alignment horizontal="center" vertical="center" wrapText="1"/>
      <protection hidden="1"/>
    </xf>
    <xf numFmtId="0" fontId="47" fillId="0" borderId="0" xfId="4" applyFont="1" applyAlignment="1" applyProtection="1">
      <alignment vertical="center" wrapText="1"/>
      <protection hidden="1"/>
    </xf>
    <xf numFmtId="0" fontId="61" fillId="0" borderId="0" xfId="4" applyFont="1" applyAlignment="1" applyProtection="1">
      <alignment vertical="center"/>
      <protection hidden="1"/>
    </xf>
    <xf numFmtId="0" fontId="26" fillId="10" borderId="6" xfId="4" applyFont="1" applyFill="1" applyBorder="1" applyAlignment="1" applyProtection="1">
      <alignment horizontal="center" vertical="center" wrapText="1"/>
      <protection hidden="1"/>
    </xf>
    <xf numFmtId="0" fontId="31" fillId="12" borderId="5" xfId="4" applyFont="1" applyFill="1" applyBorder="1" applyAlignment="1" applyProtection="1">
      <alignment horizontal="center" vertical="center" wrapText="1"/>
      <protection hidden="1"/>
    </xf>
    <xf numFmtId="0" fontId="26" fillId="12" borderId="6" xfId="4" applyFont="1" applyFill="1" applyBorder="1" applyAlignment="1" applyProtection="1">
      <alignment horizontal="center" vertical="center" wrapText="1"/>
      <protection hidden="1"/>
    </xf>
    <xf numFmtId="0" fontId="31" fillId="8" borderId="5" xfId="4" applyFont="1" applyFill="1" applyBorder="1" applyAlignment="1" applyProtection="1">
      <alignment horizontal="center" vertical="center" wrapText="1"/>
      <protection hidden="1"/>
    </xf>
    <xf numFmtId="0" fontId="26" fillId="8" borderId="6" xfId="4" applyFont="1" applyFill="1" applyBorder="1" applyAlignment="1" applyProtection="1">
      <alignment horizontal="center" vertical="center" wrapText="1"/>
      <protection hidden="1"/>
    </xf>
    <xf numFmtId="0" fontId="31" fillId="17" borderId="1" xfId="4" applyFont="1" applyFill="1" applyBorder="1" applyAlignment="1" applyProtection="1">
      <alignment vertical="center" wrapText="1"/>
      <protection hidden="1"/>
    </xf>
    <xf numFmtId="0" fontId="30" fillId="0" borderId="9" xfId="4" applyFont="1" applyBorder="1" applyAlignment="1" applyProtection="1">
      <alignment horizontal="center" vertical="center" wrapText="1"/>
      <protection hidden="1"/>
    </xf>
    <xf numFmtId="175" fontId="30" fillId="0" borderId="9" xfId="4" applyNumberFormat="1" applyFont="1" applyBorder="1" applyAlignment="1" applyProtection="1">
      <alignment horizontal="center" vertical="center" wrapText="1"/>
      <protection hidden="1"/>
    </xf>
    <xf numFmtId="175" fontId="49" fillId="0" borderId="0" xfId="4" applyNumberFormat="1" applyFont="1" applyAlignment="1">
      <alignment vertical="center"/>
    </xf>
    <xf numFmtId="0" fontId="31" fillId="0" borderId="3" xfId="4" applyFont="1" applyBorder="1" applyAlignment="1" applyProtection="1">
      <alignment horizontal="left" vertical="center" wrapText="1"/>
      <protection hidden="1"/>
    </xf>
    <xf numFmtId="0" fontId="30" fillId="17" borderId="1" xfId="4" applyFont="1" applyFill="1" applyBorder="1" applyAlignment="1" applyProtection="1">
      <alignment horizontal="left" vertical="center" wrapText="1"/>
      <protection hidden="1"/>
    </xf>
    <xf numFmtId="175" fontId="27" fillId="0" borderId="5" xfId="4" applyNumberFormat="1" applyFont="1" applyBorder="1" applyAlignment="1" applyProtection="1">
      <alignment horizontal="center" vertical="center" wrapText="1"/>
      <protection hidden="1"/>
    </xf>
    <xf numFmtId="0" fontId="46" fillId="0" borderId="0" xfId="4" applyFont="1" applyAlignment="1" applyProtection="1">
      <alignment vertical="center"/>
      <protection locked="0"/>
    </xf>
    <xf numFmtId="0" fontId="46" fillId="0" borderId="0" xfId="4" applyFont="1" applyProtection="1">
      <protection locked="0"/>
    </xf>
    <xf numFmtId="0" fontId="49" fillId="0" borderId="0" xfId="4" applyFont="1" applyAlignment="1" applyProtection="1">
      <alignment horizontal="center"/>
      <protection locked="0"/>
    </xf>
    <xf numFmtId="0" fontId="53" fillId="3" borderId="5" xfId="4" applyFont="1" applyFill="1" applyBorder="1" applyAlignment="1">
      <alignment horizontal="left" vertical="center" wrapText="1"/>
    </xf>
    <xf numFmtId="164" fontId="30" fillId="0" borderId="0" xfId="1" applyFont="1" applyFill="1" applyBorder="1" applyAlignment="1" applyProtection="1">
      <alignment vertical="center" wrapText="1"/>
      <protection locked="0"/>
    </xf>
    <xf numFmtId="0" fontId="27" fillId="0" borderId="0" xfId="4" applyFont="1" applyAlignment="1">
      <alignment horizontal="right" vertical="center" wrapText="1"/>
    </xf>
    <xf numFmtId="0" fontId="27" fillId="0" borderId="0" xfId="4" applyFont="1" applyAlignment="1">
      <alignment vertical="center"/>
    </xf>
    <xf numFmtId="0" fontId="27" fillId="0" borderId="0" xfId="4" applyFont="1" applyAlignment="1" applyProtection="1">
      <alignment vertical="center"/>
      <protection locked="0"/>
    </xf>
    <xf numFmtId="0" fontId="30" fillId="0" borderId="0" xfId="4" applyFont="1" applyAlignment="1" applyProtection="1">
      <alignment vertical="center"/>
      <protection locked="0"/>
    </xf>
    <xf numFmtId="0" fontId="30" fillId="0" borderId="0" xfId="4" applyFont="1" applyAlignment="1">
      <alignment horizontal="center" vertical="center"/>
    </xf>
    <xf numFmtId="0" fontId="24" fillId="0" borderId="0" xfId="4" applyFont="1" applyAlignment="1">
      <alignment horizontal="left" vertical="center"/>
    </xf>
    <xf numFmtId="0" fontId="25" fillId="0" borderId="0" xfId="4" applyFont="1" applyAlignment="1">
      <alignment horizontal="center" vertical="center"/>
    </xf>
    <xf numFmtId="0" fontId="31" fillId="0" borderId="19" xfId="4" applyFont="1" applyBorder="1" applyAlignment="1">
      <alignment horizontal="center" vertical="center" wrapText="1"/>
    </xf>
    <xf numFmtId="0" fontId="58" fillId="17" borderId="1" xfId="4" applyFont="1" applyFill="1" applyBorder="1" applyAlignment="1" applyProtection="1">
      <alignment horizontal="center" vertical="center" wrapText="1"/>
      <protection hidden="1"/>
    </xf>
    <xf numFmtId="49" fontId="26" fillId="17" borderId="1" xfId="4" applyNumberFormat="1" applyFont="1" applyFill="1" applyBorder="1" applyAlignment="1" applyProtection="1">
      <alignment horizontal="right" vertical="center" wrapText="1"/>
      <protection hidden="1"/>
    </xf>
    <xf numFmtId="0" fontId="85" fillId="17" borderId="18" xfId="4" applyFont="1" applyFill="1" applyBorder="1" applyAlignment="1" applyProtection="1">
      <alignment vertical="center"/>
      <protection hidden="1"/>
    </xf>
    <xf numFmtId="0" fontId="86" fillId="0" borderId="0" xfId="8" applyFont="1" applyAlignment="1" applyProtection="1">
      <alignment vertical="center"/>
      <protection hidden="1"/>
    </xf>
    <xf numFmtId="0" fontId="49" fillId="0" borderId="0" xfId="8" applyFont="1" applyAlignment="1" applyProtection="1">
      <alignment vertical="center"/>
      <protection hidden="1"/>
    </xf>
    <xf numFmtId="0" fontId="24" fillId="20" borderId="5" xfId="8" applyFont="1" applyFill="1" applyBorder="1" applyAlignment="1" applyProtection="1">
      <alignment horizontal="center" vertical="center" wrapText="1"/>
      <protection hidden="1"/>
    </xf>
    <xf numFmtId="0" fontId="26" fillId="16" borderId="5" xfId="8" applyFont="1" applyFill="1" applyBorder="1" applyAlignment="1">
      <alignment horizontal="center" vertical="center" wrapText="1"/>
    </xf>
    <xf numFmtId="0" fontId="60" fillId="17" borderId="14" xfId="4" applyFont="1" applyFill="1" applyBorder="1" applyAlignment="1" applyProtection="1">
      <alignment vertical="center"/>
      <protection hidden="1"/>
    </xf>
    <xf numFmtId="0" fontId="37" fillId="6" borderId="0" xfId="4" applyFont="1" applyFill="1" applyAlignment="1">
      <alignment vertical="center"/>
    </xf>
    <xf numFmtId="0" fontId="30" fillId="6" borderId="0" xfId="4" applyFont="1" applyFill="1" applyAlignment="1">
      <alignment horizontal="center" vertical="center" wrapText="1"/>
    </xf>
    <xf numFmtId="0" fontId="30" fillId="6" borderId="0" xfId="4" applyFont="1" applyFill="1" applyAlignment="1">
      <alignment horizontal="right" vertical="center" wrapText="1"/>
    </xf>
    <xf numFmtId="0" fontId="31" fillId="0" borderId="9" xfId="4" applyFont="1" applyBorder="1" applyAlignment="1">
      <alignment horizontal="center" vertical="center" wrapText="1"/>
    </xf>
    <xf numFmtId="0" fontId="26" fillId="10" borderId="10" xfId="4" applyFont="1" applyFill="1" applyBorder="1" applyAlignment="1">
      <alignment horizontal="center" vertical="center" wrapText="1"/>
    </xf>
    <xf numFmtId="0" fontId="31" fillId="6" borderId="4" xfId="4" applyFont="1" applyFill="1" applyBorder="1" applyAlignment="1">
      <alignment wrapText="1"/>
    </xf>
    <xf numFmtId="0" fontId="31" fillId="6" borderId="4" xfId="4" applyFont="1" applyFill="1" applyBorder="1"/>
    <xf numFmtId="0" fontId="0" fillId="6" borderId="0" xfId="0" applyFill="1"/>
    <xf numFmtId="0" fontId="31" fillId="6" borderId="0" xfId="4" applyFont="1" applyFill="1"/>
    <xf numFmtId="0" fontId="63" fillId="0" borderId="0" xfId="2" applyNumberFormat="1" applyFont="1" applyFill="1" applyAlignment="1">
      <alignment vertical="center"/>
    </xf>
    <xf numFmtId="0" fontId="0" fillId="0" borderId="0" xfId="0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8" fillId="17" borderId="0" xfId="0" applyFont="1" applyFill="1" applyAlignment="1" applyProtection="1">
      <alignment vertical="center" wrapText="1"/>
      <protection hidden="1"/>
    </xf>
    <xf numFmtId="0" fontId="27" fillId="17" borderId="0" xfId="0" applyFont="1" applyFill="1" applyAlignment="1" applyProtection="1">
      <alignment horizontal="right" vertical="center"/>
      <protection hidden="1"/>
    </xf>
    <xf numFmtId="0" fontId="37" fillId="6" borderId="4" xfId="4" applyFont="1" applyFill="1" applyBorder="1" applyAlignment="1" applyProtection="1">
      <alignment horizontal="left" vertical="center"/>
      <protection hidden="1"/>
    </xf>
    <xf numFmtId="165" fontId="30" fillId="6" borderId="4" xfId="2" applyFont="1" applyFill="1" applyBorder="1" applyAlignment="1" applyProtection="1">
      <alignment vertical="center" wrapText="1"/>
    </xf>
    <xf numFmtId="175" fontId="27" fillId="3" borderId="1" xfId="4" applyNumberFormat="1" applyFont="1" applyFill="1" applyBorder="1" applyAlignment="1" applyProtection="1">
      <alignment horizontal="center" vertical="center" shrinkToFit="1"/>
      <protection hidden="1"/>
    </xf>
    <xf numFmtId="0" fontId="26" fillId="0" borderId="1" xfId="4" applyFont="1" applyBorder="1" applyAlignment="1" applyProtection="1">
      <alignment horizontal="center" vertical="center" shrinkToFit="1"/>
      <protection hidden="1"/>
    </xf>
    <xf numFmtId="174" fontId="26" fillId="4" borderId="5" xfId="4" applyNumberFormat="1" applyFont="1" applyFill="1" applyBorder="1" applyAlignment="1" applyProtection="1">
      <alignment horizontal="center" vertical="center" shrinkToFit="1"/>
      <protection hidden="1"/>
    </xf>
    <xf numFmtId="0" fontId="27" fillId="0" borderId="0" xfId="4" applyFont="1" applyAlignment="1">
      <alignment vertical="center" shrinkToFit="1"/>
    </xf>
    <xf numFmtId="0" fontId="27" fillId="0" borderId="0" xfId="4" applyFont="1" applyAlignment="1" applyProtection="1">
      <alignment vertical="center" shrinkToFit="1"/>
      <protection locked="0"/>
    </xf>
    <xf numFmtId="166" fontId="27" fillId="6" borderId="0" xfId="0" applyNumberFormat="1" applyFont="1" applyFill="1" applyAlignment="1" applyProtection="1">
      <alignment horizontal="left" vertical="center"/>
      <protection hidden="1"/>
    </xf>
    <xf numFmtId="0" fontId="30" fillId="0" borderId="0" xfId="4" applyFont="1" applyAlignment="1" applyProtection="1">
      <alignment vertical="center" shrinkToFit="1"/>
      <protection locked="0"/>
    </xf>
    <xf numFmtId="166" fontId="27" fillId="0" borderId="0" xfId="0" applyNumberFormat="1" applyFont="1" applyAlignment="1" applyProtection="1">
      <alignment horizontal="left" vertical="center"/>
      <protection hidden="1"/>
    </xf>
    <xf numFmtId="1" fontId="27" fillId="3" borderId="1" xfId="4" applyNumberFormat="1" applyFont="1" applyFill="1" applyBorder="1" applyAlignment="1" applyProtection="1">
      <alignment horizontal="center" vertical="center" shrinkToFit="1"/>
      <protection hidden="1"/>
    </xf>
    <xf numFmtId="0" fontId="27" fillId="0" borderId="1" xfId="4" applyFont="1" applyBorder="1" applyAlignment="1" applyProtection="1">
      <alignment horizontal="center" vertical="center" shrinkToFit="1"/>
      <protection hidden="1"/>
    </xf>
    <xf numFmtId="0" fontId="27" fillId="0" borderId="6" xfId="4" applyFont="1" applyBorder="1" applyAlignment="1" applyProtection="1">
      <alignment horizontal="center" vertical="center" shrinkToFit="1"/>
      <protection hidden="1"/>
    </xf>
    <xf numFmtId="175" fontId="27" fillId="3" borderId="1" xfId="4" applyNumberFormat="1" applyFont="1" applyFill="1" applyBorder="1" applyAlignment="1" applyProtection="1">
      <alignment horizontal="center" vertical="center" wrapText="1" shrinkToFit="1"/>
      <protection hidden="1"/>
    </xf>
    <xf numFmtId="175" fontId="27" fillId="5" borderId="9" xfId="2" applyNumberFormat="1" applyFont="1" applyFill="1" applyBorder="1" applyAlignment="1" applyProtection="1">
      <alignment horizontal="right" vertical="center" wrapText="1"/>
      <protection locked="0"/>
    </xf>
    <xf numFmtId="175" fontId="27" fillId="5" borderId="5" xfId="2" applyNumberFormat="1" applyFont="1" applyFill="1" applyBorder="1" applyAlignment="1" applyProtection="1">
      <alignment horizontal="right" vertical="center" wrapText="1"/>
      <protection locked="0"/>
    </xf>
    <xf numFmtId="175" fontId="30" fillId="21" borderId="9" xfId="2" applyNumberFormat="1" applyFont="1" applyFill="1" applyBorder="1" applyAlignment="1" applyProtection="1">
      <alignment horizontal="center" vertical="center" shrinkToFit="1"/>
      <protection hidden="1"/>
    </xf>
    <xf numFmtId="175" fontId="30" fillId="21" borderId="10" xfId="2" applyNumberFormat="1" applyFont="1" applyFill="1" applyBorder="1" applyAlignment="1" applyProtection="1">
      <alignment horizontal="center" vertical="center" shrinkToFit="1"/>
      <protection hidden="1"/>
    </xf>
    <xf numFmtId="175" fontId="31" fillId="19" borderId="17" xfId="2" applyNumberFormat="1" applyFont="1" applyFill="1" applyBorder="1" applyAlignment="1" applyProtection="1">
      <alignment horizontal="center" vertical="center" shrinkToFit="1"/>
      <protection hidden="1"/>
    </xf>
    <xf numFmtId="175" fontId="27" fillId="21" borderId="5" xfId="2" applyNumberFormat="1" applyFont="1" applyFill="1" applyBorder="1" applyAlignment="1" applyProtection="1">
      <alignment horizontal="center" vertical="center" shrinkToFit="1"/>
      <protection hidden="1"/>
    </xf>
    <xf numFmtId="49" fontId="31" fillId="3" borderId="9" xfId="4" applyNumberFormat="1" applyFont="1" applyFill="1" applyBorder="1" applyAlignment="1" applyProtection="1">
      <alignment horizontal="center" vertical="center" shrinkToFit="1"/>
      <protection hidden="1"/>
    </xf>
    <xf numFmtId="0" fontId="91" fillId="9" borderId="0" xfId="4" applyFont="1" applyFill="1" applyAlignment="1" applyProtection="1">
      <alignment vertical="center"/>
      <protection locked="0" hidden="1"/>
    </xf>
    <xf numFmtId="0" fontId="45" fillId="9" borderId="0" xfId="4" applyFont="1" applyFill="1" applyAlignment="1" applyProtection="1">
      <alignment vertical="center"/>
      <protection hidden="1"/>
    </xf>
    <xf numFmtId="0" fontId="45" fillId="9" borderId="0" xfId="4" applyFont="1" applyFill="1" applyAlignment="1" applyProtection="1">
      <alignment horizontal="left" vertical="center" wrapText="1"/>
      <protection hidden="1"/>
    </xf>
    <xf numFmtId="0" fontId="60" fillId="9" borderId="0" xfId="4" applyFont="1" applyFill="1" applyAlignment="1" applyProtection="1">
      <alignment horizontal="left" vertical="center" wrapText="1"/>
      <protection hidden="1"/>
    </xf>
    <xf numFmtId="0" fontId="47" fillId="9" borderId="0" xfId="4" applyFont="1" applyFill="1" applyAlignment="1" applyProtection="1">
      <alignment vertical="center" wrapText="1"/>
      <protection hidden="1"/>
    </xf>
    <xf numFmtId="0" fontId="31" fillId="17" borderId="6" xfId="4" applyFont="1" applyFill="1" applyBorder="1" applyAlignment="1" applyProtection="1">
      <alignment vertical="center" wrapText="1"/>
      <protection hidden="1"/>
    </xf>
    <xf numFmtId="176" fontId="30" fillId="17" borderId="6" xfId="2" applyNumberFormat="1" applyFont="1" applyFill="1" applyBorder="1" applyAlignment="1" applyProtection="1">
      <alignment horizontal="center" vertical="center" shrinkToFit="1"/>
      <protection hidden="1"/>
    </xf>
    <xf numFmtId="0" fontId="47" fillId="0" borderId="14" xfId="4" applyFont="1" applyBorder="1" applyAlignment="1" applyProtection="1">
      <alignment vertical="center"/>
      <protection hidden="1"/>
    </xf>
    <xf numFmtId="5" fontId="30" fillId="2" borderId="9" xfId="2" applyNumberFormat="1" applyFont="1" applyFill="1" applyBorder="1" applyAlignment="1" applyProtection="1">
      <alignment horizontal="right" vertical="center" shrinkToFit="1"/>
      <protection locked="0"/>
    </xf>
    <xf numFmtId="175" fontId="27" fillId="3" borderId="5" xfId="2" applyNumberFormat="1" applyFont="1" applyFill="1" applyBorder="1" applyAlignment="1" applyProtection="1">
      <alignment horizontal="right" vertical="center"/>
      <protection hidden="1"/>
    </xf>
    <xf numFmtId="183" fontId="27" fillId="3" borderId="5" xfId="2" applyNumberFormat="1" applyFont="1" applyFill="1" applyBorder="1" applyAlignment="1" applyProtection="1">
      <alignment horizontal="right" vertical="center"/>
      <protection hidden="1"/>
    </xf>
    <xf numFmtId="182" fontId="27" fillId="3" borderId="5" xfId="2" applyNumberFormat="1" applyFont="1" applyFill="1" applyBorder="1" applyAlignment="1" applyProtection="1">
      <alignment horizontal="center" vertical="center"/>
      <protection hidden="1"/>
    </xf>
    <xf numFmtId="0" fontId="31" fillId="0" borderId="14" xfId="4" applyFont="1" applyBorder="1" applyAlignment="1">
      <alignment horizontal="center" vertical="center" wrapText="1"/>
    </xf>
    <xf numFmtId="0" fontId="45" fillId="0" borderId="3" xfId="4" applyFont="1" applyBorder="1" applyAlignment="1" applyProtection="1">
      <alignment horizontal="right" vertical="center"/>
      <protection hidden="1"/>
    </xf>
    <xf numFmtId="0" fontId="45" fillId="0" borderId="6" xfId="4" applyFont="1" applyBorder="1" applyAlignment="1" applyProtection="1">
      <alignment horizontal="right" vertical="center"/>
      <protection hidden="1"/>
    </xf>
    <xf numFmtId="0" fontId="26" fillId="0" borderId="5" xfId="4" applyFont="1" applyBorder="1" applyAlignment="1" applyProtection="1">
      <alignment horizontal="right" vertical="center"/>
      <protection hidden="1"/>
    </xf>
    <xf numFmtId="0" fontId="38" fillId="0" borderId="5" xfId="4" applyFont="1" applyBorder="1" applyAlignment="1" applyProtection="1">
      <alignment horizontal="right" vertical="center"/>
      <protection hidden="1"/>
    </xf>
    <xf numFmtId="0" fontId="26" fillId="0" borderId="1" xfId="4" applyFont="1" applyBorder="1" applyAlignment="1" applyProtection="1">
      <alignment horizontal="right" vertical="center" wrapText="1"/>
      <protection hidden="1"/>
    </xf>
    <xf numFmtId="0" fontId="26" fillId="17" borderId="0" xfId="4" applyFont="1" applyFill="1" applyAlignment="1" applyProtection="1">
      <alignment horizontal="left" vertical="center" wrapText="1"/>
      <protection hidden="1"/>
    </xf>
    <xf numFmtId="0" fontId="31" fillId="0" borderId="4" xfId="4" applyFont="1" applyBorder="1" applyAlignment="1" applyProtection="1">
      <alignment horizontal="center" vertical="center" wrapText="1"/>
      <protection hidden="1"/>
    </xf>
    <xf numFmtId="0" fontId="31" fillId="0" borderId="21" xfId="4" applyFont="1" applyBorder="1" applyAlignment="1" applyProtection="1">
      <alignment horizontal="center" vertical="center" wrapText="1"/>
      <protection hidden="1"/>
    </xf>
    <xf numFmtId="0" fontId="31" fillId="15" borderId="1" xfId="4" applyFont="1" applyFill="1" applyBorder="1" applyAlignment="1" applyProtection="1">
      <alignment horizontal="center" vertical="center" wrapText="1"/>
      <protection hidden="1"/>
    </xf>
    <xf numFmtId="0" fontId="31" fillId="15" borderId="6" xfId="4" applyFont="1" applyFill="1" applyBorder="1" applyAlignment="1" applyProtection="1">
      <alignment horizontal="center" vertical="center" wrapText="1"/>
      <protection hidden="1"/>
    </xf>
    <xf numFmtId="0" fontId="31" fillId="14" borderId="3" xfId="4" applyFont="1" applyFill="1" applyBorder="1" applyAlignment="1" applyProtection="1">
      <alignment horizontal="center" vertical="center" wrapText="1"/>
      <protection hidden="1"/>
    </xf>
    <xf numFmtId="0" fontId="31" fillId="13" borderId="3" xfId="4" applyFont="1" applyFill="1" applyBorder="1" applyAlignment="1" applyProtection="1">
      <alignment horizontal="center" vertical="center" wrapText="1"/>
      <protection hidden="1"/>
    </xf>
    <xf numFmtId="0" fontId="31" fillId="13" borderId="1" xfId="4" applyFont="1" applyFill="1" applyBorder="1" applyAlignment="1" applyProtection="1">
      <alignment horizontal="center" vertical="center" wrapText="1"/>
      <protection hidden="1"/>
    </xf>
    <xf numFmtId="0" fontId="31" fillId="13" borderId="6" xfId="4" applyFont="1" applyFill="1" applyBorder="1" applyAlignment="1" applyProtection="1">
      <alignment horizontal="center" vertical="center" wrapText="1"/>
      <protection hidden="1"/>
    </xf>
    <xf numFmtId="0" fontId="26" fillId="20" borderId="0" xfId="4" applyFont="1" applyFill="1" applyAlignment="1" applyProtection="1">
      <alignment horizontal="left" vertical="center" wrapText="1"/>
      <protection hidden="1"/>
    </xf>
    <xf numFmtId="0" fontId="8" fillId="0" borderId="0" xfId="4" applyFont="1" applyAlignment="1" applyProtection="1">
      <alignment vertical="center" wrapText="1"/>
      <protection hidden="1"/>
    </xf>
    <xf numFmtId="0" fontId="56" fillId="0" borderId="5" xfId="4" applyFont="1" applyBorder="1" applyAlignment="1">
      <alignment horizontal="right" vertical="center" wrapText="1"/>
    </xf>
    <xf numFmtId="0" fontId="26" fillId="0" borderId="5" xfId="4" applyFont="1" applyBorder="1" applyAlignment="1">
      <alignment horizontal="right" vertical="center" wrapText="1"/>
    </xf>
    <xf numFmtId="0" fontId="26" fillId="7" borderId="3" xfId="4" applyFont="1" applyFill="1" applyBorder="1" applyAlignment="1">
      <alignment horizontal="center" vertical="center" wrapText="1"/>
    </xf>
    <xf numFmtId="0" fontId="26" fillId="7" borderId="5" xfId="4" applyFont="1" applyFill="1" applyBorder="1" applyAlignment="1">
      <alignment horizontal="center" vertical="center" wrapText="1"/>
    </xf>
    <xf numFmtId="0" fontId="68" fillId="0" borderId="3" xfId="4" applyFont="1" applyBorder="1" applyAlignment="1">
      <alignment horizontal="center" vertical="center" wrapText="1"/>
    </xf>
    <xf numFmtId="0" fontId="1" fillId="0" borderId="6" xfId="4" applyBorder="1" applyAlignment="1">
      <alignment horizontal="center" vertical="center" wrapText="1"/>
    </xf>
    <xf numFmtId="0" fontId="85" fillId="17" borderId="18" xfId="4" applyFont="1" applyFill="1" applyBorder="1" applyAlignment="1" applyProtection="1">
      <alignment horizontal="center" vertical="center" wrapText="1"/>
      <protection hidden="1"/>
    </xf>
    <xf numFmtId="0" fontId="85" fillId="0" borderId="11" xfId="4" applyFont="1" applyBorder="1" applyAlignment="1">
      <alignment horizontal="center" vertical="center" wrapText="1"/>
    </xf>
    <xf numFmtId="0" fontId="85" fillId="0" borderId="14" xfId="4" applyFont="1" applyBorder="1" applyAlignment="1">
      <alignment horizontal="center" vertical="center" wrapText="1"/>
    </xf>
    <xf numFmtId="0" fontId="85" fillId="0" borderId="21" xfId="4" applyFont="1" applyBorder="1" applyAlignment="1">
      <alignment horizontal="center" vertical="center" wrapText="1"/>
    </xf>
    <xf numFmtId="0" fontId="26" fillId="3" borderId="20" xfId="4" applyFont="1" applyFill="1" applyBorder="1" applyAlignment="1">
      <alignment horizontal="right" vertical="center" wrapText="1"/>
    </xf>
    <xf numFmtId="0" fontId="31" fillId="0" borderId="12" xfId="4" applyFont="1" applyBorder="1" applyAlignment="1">
      <alignment vertical="center" wrapText="1"/>
    </xf>
    <xf numFmtId="0" fontId="27" fillId="0" borderId="9" xfId="4" applyFont="1" applyBorder="1" applyAlignment="1">
      <alignment vertical="center" wrapText="1"/>
    </xf>
    <xf numFmtId="0" fontId="44" fillId="2" borderId="18" xfId="4" applyFont="1" applyFill="1" applyBorder="1" applyAlignment="1" applyProtection="1">
      <alignment horizontal="left" vertical="center" wrapText="1"/>
      <protection locked="0"/>
    </xf>
    <xf numFmtId="0" fontId="1" fillId="0" borderId="19" xfId="4" applyBorder="1" applyAlignment="1" applyProtection="1">
      <alignment horizontal="left" vertical="center" wrapText="1"/>
      <protection locked="0"/>
    </xf>
    <xf numFmtId="0" fontId="1" fillId="0" borderId="11" xfId="4" applyBorder="1" applyAlignment="1">
      <alignment vertical="center"/>
    </xf>
    <xf numFmtId="0" fontId="1" fillId="0" borderId="14" xfId="4" applyBorder="1" applyAlignment="1" applyProtection="1">
      <alignment horizontal="left" vertical="center" wrapText="1"/>
      <protection locked="0"/>
    </xf>
    <xf numFmtId="0" fontId="1" fillId="0" borderId="4" xfId="4" applyBorder="1" applyAlignment="1" applyProtection="1">
      <alignment horizontal="left" vertical="center" wrapText="1"/>
      <protection locked="0"/>
    </xf>
    <xf numFmtId="0" fontId="1" fillId="0" borderId="21" xfId="4" applyBorder="1" applyAlignment="1">
      <alignment vertical="center"/>
    </xf>
    <xf numFmtId="0" fontId="41" fillId="6" borderId="4" xfId="4" applyFont="1" applyFill="1" applyBorder="1" applyAlignment="1">
      <alignment horizontal="left" vertical="center"/>
    </xf>
    <xf numFmtId="0" fontId="1" fillId="0" borderId="4" xfId="4" applyBorder="1"/>
    <xf numFmtId="0" fontId="68" fillId="0" borderId="5" xfId="4" applyFont="1" applyBorder="1" applyAlignment="1">
      <alignment horizontal="center" vertical="center" wrapText="1"/>
    </xf>
    <xf numFmtId="0" fontId="1" fillId="0" borderId="5" xfId="4" applyBorder="1" applyAlignment="1">
      <alignment horizontal="center" vertical="center" wrapText="1"/>
    </xf>
    <xf numFmtId="0" fontId="26" fillId="18" borderId="20" xfId="4" applyFont="1" applyFill="1" applyBorder="1" applyAlignment="1" applyProtection="1">
      <alignment horizontal="right" vertical="center" wrapText="1"/>
      <protection hidden="1"/>
    </xf>
    <xf numFmtId="0" fontId="26" fillId="8" borderId="16" xfId="4" applyFont="1" applyFill="1" applyBorder="1" applyAlignment="1">
      <alignment horizontal="center" vertical="center" wrapText="1"/>
    </xf>
    <xf numFmtId="0" fontId="29" fillId="2" borderId="15" xfId="4" applyFont="1" applyFill="1" applyBorder="1" applyAlignment="1" applyProtection="1">
      <alignment horizontal="center" vertical="center" wrapText="1"/>
      <protection locked="0"/>
    </xf>
    <xf numFmtId="0" fontId="26" fillId="0" borderId="13" xfId="4" applyFont="1" applyBorder="1" applyAlignment="1">
      <alignment horizontal="right" vertical="center" wrapText="1"/>
    </xf>
    <xf numFmtId="0" fontId="26" fillId="0" borderId="15" xfId="4" applyFont="1" applyBorder="1" applyAlignment="1">
      <alignment horizontal="right" vertical="center" wrapText="1"/>
    </xf>
    <xf numFmtId="0" fontId="26" fillId="0" borderId="5" xfId="4" applyFont="1" applyBorder="1" applyAlignment="1">
      <alignment horizontal="left" vertical="center" wrapText="1"/>
    </xf>
    <xf numFmtId="0" fontId="26" fillId="0" borderId="3" xfId="4" applyFont="1" applyBorder="1" applyAlignment="1">
      <alignment horizontal="right" vertical="center" wrapText="1"/>
    </xf>
    <xf numFmtId="0" fontId="26" fillId="7" borderId="6" xfId="4" applyFont="1" applyFill="1" applyBorder="1" applyAlignment="1">
      <alignment horizontal="center" vertical="center" wrapText="1"/>
    </xf>
    <xf numFmtId="0" fontId="26" fillId="0" borderId="1" xfId="4" applyFont="1" applyBorder="1" applyAlignment="1">
      <alignment horizontal="right" vertical="center" wrapText="1"/>
    </xf>
    <xf numFmtId="0" fontId="26" fillId="0" borderId="6" xfId="4" applyFont="1" applyBorder="1" applyAlignment="1">
      <alignment horizontal="right" vertical="center" wrapText="1"/>
    </xf>
    <xf numFmtId="0" fontId="31" fillId="0" borderId="3" xfId="4" applyFont="1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32" fillId="17" borderId="18" xfId="8" applyFont="1" applyFill="1" applyBorder="1" applyAlignment="1" applyProtection="1">
      <alignment horizontal="center" vertical="center" wrapText="1"/>
      <protection hidden="1"/>
    </xf>
    <xf numFmtId="0" fontId="1" fillId="0" borderId="11" xfId="8" applyBorder="1" applyAlignment="1">
      <alignment horizontal="center" vertical="center"/>
    </xf>
    <xf numFmtId="0" fontId="1" fillId="0" borderId="14" xfId="8" applyBorder="1" applyAlignment="1">
      <alignment horizontal="center" vertical="center"/>
    </xf>
    <xf numFmtId="0" fontId="1" fillId="0" borderId="21" xfId="8" applyBorder="1" applyAlignment="1">
      <alignment horizontal="center" vertical="center"/>
    </xf>
    <xf numFmtId="0" fontId="31" fillId="0" borderId="5" xfId="4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1" fillId="0" borderId="5" xfId="4" applyFont="1" applyBorder="1" applyAlignment="1" applyProtection="1">
      <alignment horizontal="center" vertical="center" wrapText="1"/>
      <protection hidden="1"/>
    </xf>
    <xf numFmtId="0" fontId="31" fillId="0" borderId="3" xfId="4" applyFont="1" applyBorder="1" applyAlignment="1" applyProtection="1">
      <alignment horizontal="left" vertical="center" wrapText="1"/>
      <protection hidden="1"/>
    </xf>
    <xf numFmtId="0" fontId="31" fillId="0" borderId="1" xfId="4" applyFont="1" applyBorder="1" applyAlignment="1" applyProtection="1">
      <alignment horizontal="left" vertical="center" wrapText="1"/>
      <protection hidden="1"/>
    </xf>
    <xf numFmtId="0" fontId="53" fillId="17" borderId="3" xfId="4" applyFont="1" applyFill="1" applyBorder="1" applyAlignment="1" applyProtection="1">
      <alignment horizontal="center" vertical="center" wrapText="1"/>
      <protection hidden="1"/>
    </xf>
    <xf numFmtId="0" fontId="74" fillId="0" borderId="1" xfId="4" applyFont="1" applyBorder="1" applyAlignment="1" applyProtection="1">
      <alignment vertical="center"/>
      <protection hidden="1"/>
    </xf>
    <xf numFmtId="0" fontId="74" fillId="0" borderId="6" xfId="4" applyFont="1" applyBorder="1" applyAlignment="1" applyProtection="1">
      <alignment vertical="center"/>
      <protection hidden="1"/>
    </xf>
    <xf numFmtId="0" fontId="0" fillId="0" borderId="6" xfId="0" applyBorder="1" applyAlignment="1" applyProtection="1">
      <alignment horizontal="right" vertical="center"/>
      <protection hidden="1"/>
    </xf>
    <xf numFmtId="0" fontId="31" fillId="10" borderId="5" xfId="4" applyFont="1" applyFill="1" applyBorder="1" applyAlignment="1" applyProtection="1">
      <alignment horizontal="center" vertical="center" wrapText="1"/>
      <protection hidden="1"/>
    </xf>
    <xf numFmtId="0" fontId="36" fillId="6" borderId="2" xfId="4" applyFont="1" applyFill="1" applyBorder="1" applyAlignment="1" applyProtection="1">
      <alignment horizontal="left" vertical="center"/>
      <protection hidden="1"/>
    </xf>
    <xf numFmtId="0" fontId="36" fillId="6" borderId="0" xfId="4" applyFont="1" applyFill="1" applyAlignment="1" applyProtection="1">
      <alignment horizontal="left" vertical="center"/>
      <protection hidden="1"/>
    </xf>
    <xf numFmtId="0" fontId="31" fillId="10" borderId="3" xfId="4" applyFont="1" applyFill="1" applyBorder="1" applyAlignment="1" applyProtection="1">
      <alignment horizontal="center" vertical="center" wrapText="1"/>
      <protection hidden="1"/>
    </xf>
    <xf numFmtId="0" fontId="31" fillId="10" borderId="1" xfId="4" applyFont="1" applyFill="1" applyBorder="1" applyAlignment="1" applyProtection="1">
      <alignment horizontal="center" vertical="center" wrapText="1"/>
      <protection hidden="1"/>
    </xf>
    <xf numFmtId="0" fontId="31" fillId="10" borderId="6" xfId="4" applyFont="1" applyFill="1" applyBorder="1" applyAlignment="1" applyProtection="1">
      <alignment horizontal="center" vertical="center" wrapText="1"/>
      <protection hidden="1"/>
    </xf>
    <xf numFmtId="0" fontId="31" fillId="12" borderId="3" xfId="4" applyFont="1" applyFill="1" applyBorder="1" applyAlignment="1" applyProtection="1">
      <alignment horizontal="center" vertical="center" wrapText="1"/>
      <protection hidden="1"/>
    </xf>
    <xf numFmtId="0" fontId="31" fillId="12" borderId="1" xfId="4" applyFont="1" applyFill="1" applyBorder="1" applyAlignment="1" applyProtection="1">
      <alignment horizontal="center" vertical="center" wrapText="1"/>
      <protection hidden="1"/>
    </xf>
    <xf numFmtId="0" fontId="31" fillId="12" borderId="6" xfId="4" applyFont="1" applyFill="1" applyBorder="1" applyAlignment="1" applyProtection="1">
      <alignment horizontal="center" vertical="center" wrapText="1"/>
      <protection hidden="1"/>
    </xf>
    <xf numFmtId="0" fontId="31" fillId="8" borderId="5" xfId="0" applyFont="1" applyFill="1" applyBorder="1" applyAlignment="1" applyProtection="1">
      <alignment horizontal="center" vertical="center" wrapText="1"/>
      <protection hidden="1"/>
    </xf>
    <xf numFmtId="0" fontId="0" fillId="8" borderId="5" xfId="0" applyFill="1" applyBorder="1" applyAlignment="1" applyProtection="1">
      <alignment vertical="center"/>
      <protection hidden="1"/>
    </xf>
    <xf numFmtId="181" fontId="26" fillId="18" borderId="13" xfId="2" applyNumberFormat="1" applyFont="1" applyFill="1" applyBorder="1" applyAlignment="1" applyProtection="1">
      <alignment horizontal="right" vertical="center" shrinkToFit="1"/>
    </xf>
    <xf numFmtId="181" fontId="26" fillId="18" borderId="8" xfId="2" applyNumberFormat="1" applyFont="1" applyFill="1" applyBorder="1" applyAlignment="1" applyProtection="1">
      <alignment horizontal="right" vertical="center" shrinkToFit="1"/>
    </xf>
    <xf numFmtId="0" fontId="44" fillId="2" borderId="18" xfId="4" applyFont="1" applyFill="1" applyBorder="1" applyAlignment="1" applyProtection="1">
      <alignment horizontal="left" vertical="top" wrapText="1"/>
      <protection locked="0"/>
    </xf>
    <xf numFmtId="0" fontId="0" fillId="0" borderId="19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wrapText="1"/>
    </xf>
    <xf numFmtId="0" fontId="56" fillId="0" borderId="3" xfId="4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56" fillId="0" borderId="1" xfId="4" applyFont="1" applyBorder="1" applyAlignment="1">
      <alignment horizontal="right" vertical="center" wrapText="1"/>
    </xf>
    <xf numFmtId="0" fontId="56" fillId="0" borderId="6" xfId="4" applyFont="1" applyBorder="1" applyAlignment="1">
      <alignment horizontal="right" vertical="center" wrapText="1"/>
    </xf>
    <xf numFmtId="0" fontId="31" fillId="0" borderId="6" xfId="4" applyFont="1" applyBorder="1" applyAlignment="1">
      <alignment horizontal="right" vertical="center" wrapText="1"/>
    </xf>
    <xf numFmtId="0" fontId="41" fillId="8" borderId="0" xfId="4" applyFont="1" applyFill="1" applyAlignment="1">
      <alignment horizontal="center" vertical="center" wrapText="1"/>
    </xf>
    <xf numFmtId="0" fontId="41" fillId="8" borderId="16" xfId="4" applyFont="1" applyFill="1" applyBorder="1" applyAlignment="1">
      <alignment horizontal="center" vertical="center" wrapText="1"/>
    </xf>
    <xf numFmtId="0" fontId="29" fillId="5" borderId="15" xfId="4" applyFont="1" applyFill="1" applyBorder="1" applyAlignment="1" applyProtection="1">
      <alignment horizontal="center" vertical="center" wrapText="1"/>
      <protection locked="0"/>
    </xf>
    <xf numFmtId="0" fontId="29" fillId="5" borderId="8" xfId="4" applyFont="1" applyFill="1" applyBorder="1" applyAlignment="1" applyProtection="1">
      <alignment horizontal="center" vertical="center" wrapText="1"/>
      <protection locked="0"/>
    </xf>
    <xf numFmtId="14" fontId="29" fillId="2" borderId="15" xfId="4" applyNumberFormat="1" applyFont="1" applyFill="1" applyBorder="1" applyAlignment="1" applyProtection="1">
      <alignment horizontal="center" vertical="center" wrapText="1"/>
      <protection locked="0"/>
    </xf>
    <xf numFmtId="14" fontId="29" fillId="2" borderId="8" xfId="4" applyNumberFormat="1" applyFont="1" applyFill="1" applyBorder="1" applyAlignment="1" applyProtection="1">
      <alignment horizontal="center" vertical="center" wrapText="1"/>
      <protection locked="0"/>
    </xf>
    <xf numFmtId="0" fontId="31" fillId="7" borderId="3" xfId="4" applyFont="1" applyFill="1" applyBorder="1" applyAlignment="1">
      <alignment horizontal="left" vertical="center"/>
    </xf>
    <xf numFmtId="0" fontId="26" fillId="7" borderId="6" xfId="4" applyFont="1" applyFill="1" applyBorder="1" applyAlignment="1">
      <alignment horizontal="left" vertical="center"/>
    </xf>
    <xf numFmtId="10" fontId="27" fillId="3" borderId="12" xfId="3" applyNumberFormat="1" applyFont="1" applyFill="1" applyBorder="1" applyAlignment="1" applyProtection="1">
      <alignment horizontal="center" vertical="center" wrapText="1"/>
      <protection hidden="1"/>
    </xf>
  </cellXfs>
  <cellStyles count="9">
    <cellStyle name="Milliers [0]" xfId="1" builtinId="6"/>
    <cellStyle name="Monétaire [0]" xfId="2" builtinId="7"/>
    <cellStyle name="Monétaire 2" xfId="5" xr:uid="{84D04B93-411A-4C2C-8F48-119ABFDCAC65}"/>
    <cellStyle name="Monétaire 2 2" xfId="7" xr:uid="{D85F9ADA-F5B7-494F-A40C-48FD9B8E5C60}"/>
    <cellStyle name="Monétaire 3" xfId="6" xr:uid="{4B84966C-69C8-498C-92EB-43E5DA61E5CA}"/>
    <cellStyle name="Normal" xfId="0" builtinId="0"/>
    <cellStyle name="Normal 2" xfId="4" xr:uid="{EE046D95-4259-4A10-9DEF-5D9B78A2DBDD}"/>
    <cellStyle name="Normal 3 2" xfId="8" xr:uid="{C5200B71-F83F-4C74-BBDE-44E259249F79}"/>
    <cellStyle name="Pourcentage" xfId="3" builtinId="5"/>
  </cellStyles>
  <dxfs count="87">
    <dxf>
      <font>
        <color rgb="FFFF0000"/>
      </font>
      <fill>
        <patternFill>
          <fgColor rgb="FFFFFF00"/>
          <bgColor rgb="FFFFFF00"/>
        </patternFill>
      </fill>
    </dxf>
    <dxf>
      <font>
        <color rgb="FFFF0000"/>
      </font>
      <fill>
        <patternFill>
          <fgColor rgb="FFFFFF00"/>
          <bgColor rgb="FFFFFF00"/>
        </patternFill>
      </fill>
    </dxf>
    <dxf>
      <font>
        <color rgb="FFFF0000"/>
      </font>
      <fill>
        <patternFill>
          <fgColor rgb="FFFFFF00"/>
          <bgColor rgb="FFFFFF00"/>
        </patternFill>
      </fill>
    </dxf>
    <dxf>
      <font>
        <color theme="0" tint="-0.24994659260841701"/>
      </font>
      <fill>
        <patternFill>
          <bgColor theme="0" tint="-0.1499679555650502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theme="0" tint="-0.24994659260841701"/>
      </font>
      <fill>
        <patternFill>
          <bgColor rgb="FFD9D9D9"/>
        </patternFill>
      </fill>
    </dxf>
    <dxf>
      <font>
        <color theme="0" tint="-0.24994659260841701"/>
      </font>
      <fill>
        <patternFill>
          <bgColor rgb="FFD9D9D9"/>
        </patternFill>
      </fill>
    </dxf>
    <dxf>
      <font>
        <color theme="0" tint="-0.24994659260841701"/>
      </font>
      <fill>
        <patternFill>
          <bgColor rgb="FFD9D9D9"/>
        </patternFill>
      </fill>
    </dxf>
    <dxf>
      <font>
        <color theme="0" tint="-0.24994659260841701"/>
      </font>
      <fill>
        <patternFill>
          <bgColor rgb="FFD9D9D9"/>
        </patternFill>
      </fill>
    </dxf>
    <dxf>
      <font>
        <color theme="0" tint="-0.24994659260841701"/>
      </font>
      <fill>
        <patternFill>
          <bgColor rgb="FFD9D9D9"/>
        </patternFill>
      </fill>
    </dxf>
    <dxf>
      <font>
        <color theme="0" tint="-0.24994659260841701"/>
      </font>
      <fill>
        <patternFill>
          <bgColor rgb="FFD9D9D9"/>
        </patternFill>
      </fill>
    </dxf>
    <dxf>
      <font>
        <color rgb="FFC00000"/>
      </font>
      <fill>
        <patternFill>
          <bgColor rgb="FFFFFF00"/>
        </patternFill>
      </fill>
    </dxf>
    <dxf>
      <font>
        <b val="0"/>
        <i val="0"/>
        <strike val="0"/>
        <color rgb="FFFF0000"/>
      </font>
      <fill>
        <patternFill>
          <fgColor auto="1"/>
        </patternFill>
      </fill>
    </dxf>
    <dxf>
      <border>
        <bottom style="thin">
          <color auto="1"/>
        </bottom>
        <vertical/>
        <horizontal/>
      </border>
    </dxf>
    <dxf>
      <border>
        <top style="thin">
          <color auto="1"/>
        </top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rgb="FF9C0006"/>
      </font>
    </dxf>
    <dxf>
      <font>
        <color rgb="FFC00000"/>
      </font>
    </dxf>
    <dxf>
      <font>
        <color rgb="FFC00000"/>
      </font>
    </dxf>
    <dxf>
      <font>
        <color rgb="FF9C0006"/>
      </font>
    </dxf>
    <dxf>
      <font>
        <color rgb="FFC00000"/>
      </font>
    </dxf>
    <dxf>
      <font>
        <color rgb="FFC00000"/>
      </font>
    </dxf>
    <dxf>
      <font>
        <color rgb="FF9C0006"/>
      </font>
    </dxf>
    <dxf>
      <font>
        <color rgb="FF9C0006"/>
      </font>
    </dxf>
    <dxf>
      <font>
        <color rgb="FFC00000"/>
      </font>
    </dxf>
    <dxf>
      <font>
        <color rgb="FF9C0006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theme="0" tint="-0.24994659260841701"/>
      </font>
      <fill>
        <patternFill>
          <bgColor theme="0" tint="-0.1499679555650502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theme="0" tint="-0.24994659260841701"/>
      </font>
      <fill>
        <patternFill>
          <bgColor rgb="FFD9D9D9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theme="0" tint="-0.24994659260841701"/>
      </font>
      <fill>
        <patternFill>
          <bgColor rgb="FFD9D9D9"/>
        </patternFill>
      </fill>
    </dxf>
    <dxf>
      <font>
        <color rgb="FFFF0000"/>
      </font>
    </dxf>
    <dxf>
      <font>
        <color theme="0" tint="-0.24994659260841701"/>
      </font>
      <fill>
        <patternFill>
          <bgColor rgb="FFD9D9D9"/>
        </patternFill>
      </fill>
    </dxf>
    <dxf>
      <font>
        <color theme="0" tint="-0.24994659260841701"/>
      </font>
      <fill>
        <patternFill>
          <bgColor rgb="FFD9D9D9"/>
        </patternFill>
      </fill>
    </dxf>
    <dxf>
      <font>
        <color theme="0" tint="-0.24994659260841701"/>
      </font>
      <fill>
        <patternFill>
          <bgColor rgb="FFD9D9D9"/>
        </patternFill>
      </fill>
    </dxf>
    <dxf>
      <font>
        <color theme="0" tint="-0.24994659260841701"/>
      </font>
      <fill>
        <patternFill>
          <bgColor rgb="FFD9D9D9"/>
        </patternFill>
      </fill>
    </dxf>
    <dxf>
      <font>
        <color theme="0" tint="-0.24994659260841701"/>
      </font>
      <fill>
        <patternFill>
          <bgColor rgb="FFD9D9D9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9C0006"/>
      </font>
    </dxf>
    <dxf>
      <font>
        <color theme="0" tint="-0.24994659260841701"/>
      </font>
      <fill>
        <patternFill>
          <bgColor rgb="FFD9D9D9"/>
        </patternFill>
      </fill>
    </dxf>
    <dxf>
      <font>
        <b val="0"/>
        <i val="0"/>
        <strike val="0"/>
        <color rgb="FFFF0000"/>
      </font>
      <fill>
        <patternFill>
          <fgColor auto="1"/>
        </patternFill>
      </fill>
    </dxf>
    <dxf>
      <fill>
        <patternFill>
          <bgColor theme="0" tint="-0.14996795556505021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9C0006"/>
      </font>
    </dxf>
    <dxf>
      <font>
        <strike val="0"/>
        <color rgb="FFFF0000"/>
      </font>
    </dxf>
    <dxf>
      <font>
        <color rgb="FFC00000"/>
      </font>
    </dxf>
    <dxf>
      <font>
        <color theme="0"/>
      </font>
      <fill>
        <patternFill patternType="none">
          <bgColor auto="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colors>
    <mruColors>
      <color rgb="FFE1EB81"/>
      <color rgb="FFCCFFFF"/>
      <color rgb="FFBFBFBF"/>
      <color rgb="FFFABF8F"/>
      <color rgb="FFF4750C"/>
      <color rgb="FFF8A15A"/>
      <color rgb="FFF58427"/>
      <color rgb="FFF799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Drop" dropLines="22" dropStyle="combo" dx="16" fmlaLink="$A$73" fmlaRange="$B$74:$B$95" sel="22" val="0"/>
</file>

<file path=xl/ctrlProps/ctrlProp2.xml><?xml version="1.0" encoding="utf-8"?>
<formControlPr xmlns="http://schemas.microsoft.com/office/spreadsheetml/2009/9/main" objectType="Drop" dropLines="21" dropStyle="combo" dx="16" fmlaLink="$A$77" fmlaRange="$B$77:$B$97" sel="2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16</xdr:row>
          <xdr:rowOff>22860</xdr:rowOff>
        </xdr:from>
        <xdr:to>
          <xdr:col>6</xdr:col>
          <xdr:colOff>19050</xdr:colOff>
          <xdr:row>16</xdr:row>
          <xdr:rowOff>285750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0</xdr:col>
      <xdr:colOff>0</xdr:colOff>
      <xdr:row>0</xdr:row>
      <xdr:rowOff>0</xdr:rowOff>
    </xdr:from>
    <xdr:ext cx="1135380" cy="896651"/>
    <xdr:pic>
      <xdr:nvPicPr>
        <xdr:cNvPr id="2" name="Image 1">
          <a:extLst>
            <a:ext uri="{FF2B5EF4-FFF2-40B4-BE49-F238E27FC236}">
              <a16:creationId xmlns:a16="http://schemas.microsoft.com/office/drawing/2014/main" id="{6F348C6C-B544-4FA0-9274-2432252E2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35380" cy="89665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4</xdr:row>
          <xdr:rowOff>0</xdr:rowOff>
        </xdr:from>
        <xdr:to>
          <xdr:col>5</xdr:col>
          <xdr:colOff>152400</xdr:colOff>
          <xdr:row>4</xdr:row>
          <xdr:rowOff>365760</xdr:rowOff>
        </xdr:to>
        <xdr:sp macro="" textlink="">
          <xdr:nvSpPr>
            <xdr:cNvPr id="7169" name="Drop Dow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0</xdr:col>
      <xdr:colOff>0</xdr:colOff>
      <xdr:row>0</xdr:row>
      <xdr:rowOff>38100</xdr:rowOff>
    </xdr:from>
    <xdr:to>
      <xdr:col>0</xdr:col>
      <xdr:colOff>1043940</xdr:colOff>
      <xdr:row>0</xdr:row>
      <xdr:rowOff>972715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866BCF1-5BB2-4C92-9E2B-353FB9880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1043940" cy="9269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56C2B-E885-462E-B98E-4DDCAB80E0E7}">
  <sheetPr>
    <tabColor rgb="FFFF0000"/>
  </sheetPr>
  <dimension ref="A1:AQ133"/>
  <sheetViews>
    <sheetView tabSelected="1" zoomScaleNormal="100" zoomScaleSheetLayoutView="100" workbookViewId="0">
      <selection activeCell="AD37" sqref="AD37"/>
    </sheetView>
  </sheetViews>
  <sheetFormatPr baseColWidth="10" defaultColWidth="8.90625" defaultRowHeight="15" x14ac:dyDescent="0.25"/>
  <cols>
    <col min="1" max="1" width="8.453125" style="280" customWidth="1"/>
    <col min="2" max="2" width="18" style="384" customWidth="1"/>
    <col min="3" max="6" width="12.81640625" style="280" customWidth="1"/>
    <col min="7" max="7" width="11.6328125" style="280" customWidth="1"/>
    <col min="8" max="8" width="11" style="280" customWidth="1"/>
    <col min="9" max="9" width="11.6328125" style="280" customWidth="1"/>
    <col min="10" max="11" width="12.6328125" style="280" customWidth="1"/>
    <col min="12" max="12" width="14.08984375" style="280" customWidth="1"/>
    <col min="13" max="15" width="0.90625" style="280" hidden="1" customWidth="1"/>
    <col min="16" max="21" width="0.7265625" style="280" hidden="1" customWidth="1"/>
    <col min="22" max="26" width="8.90625" style="280" hidden="1" customWidth="1"/>
    <col min="27" max="41" width="8.90625" style="280"/>
    <col min="42" max="16384" width="8.90625" style="298"/>
  </cols>
  <sheetData>
    <row r="1" spans="1:43" ht="76.2" customHeight="1" thickBot="1" x14ac:dyDescent="0.3">
      <c r="A1" s="40"/>
      <c r="B1" s="297"/>
      <c r="C1" s="600" t="s">
        <v>229</v>
      </c>
      <c r="D1" s="600"/>
      <c r="E1" s="600"/>
      <c r="F1" s="600"/>
      <c r="G1" s="600"/>
      <c r="H1" s="600"/>
      <c r="I1" s="600"/>
      <c r="J1" s="600"/>
      <c r="K1" s="600"/>
      <c r="L1" s="40"/>
      <c r="M1" s="40"/>
      <c r="N1" s="40"/>
      <c r="O1" s="40"/>
      <c r="P1" s="40"/>
      <c r="Q1" s="40"/>
      <c r="R1" s="40"/>
    </row>
    <row r="2" spans="1:43" s="301" customFormat="1" ht="34.5" customHeight="1" thickBot="1" x14ac:dyDescent="0.3">
      <c r="A2" s="299" t="s">
        <v>0</v>
      </c>
      <c r="B2" s="601"/>
      <c r="C2" s="601"/>
      <c r="D2" s="601"/>
      <c r="E2" s="299" t="s">
        <v>1</v>
      </c>
      <c r="F2" s="601"/>
      <c r="G2" s="601"/>
      <c r="H2" s="601"/>
      <c r="I2" s="602" t="s">
        <v>2</v>
      </c>
      <c r="J2" s="603"/>
      <c r="K2" s="300"/>
      <c r="L2" s="40"/>
      <c r="M2" s="40"/>
      <c r="N2" s="40"/>
      <c r="O2" s="40"/>
      <c r="P2" s="40"/>
      <c r="Q2" s="40"/>
      <c r="R2" s="4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  <c r="AF2" s="280"/>
      <c r="AG2" s="280"/>
      <c r="AH2" s="280"/>
      <c r="AI2" s="280"/>
      <c r="AJ2" s="280"/>
      <c r="AK2" s="280"/>
      <c r="AL2" s="280"/>
      <c r="AM2" s="280"/>
      <c r="AN2" s="280"/>
    </row>
    <row r="3" spans="1:43" s="301" customFormat="1" ht="22.5" customHeight="1" x14ac:dyDescent="0.25">
      <c r="A3" s="302" t="s">
        <v>3</v>
      </c>
      <c r="B3" s="45"/>
      <c r="C3" s="303"/>
      <c r="D3" s="304"/>
      <c r="E3" s="305"/>
      <c r="F3" s="306"/>
      <c r="G3" s="307"/>
      <c r="H3" s="305"/>
      <c r="I3" s="306"/>
      <c r="J3" s="308"/>
      <c r="K3" s="308"/>
      <c r="L3" s="39"/>
      <c r="M3" s="40"/>
      <c r="N3" s="40"/>
      <c r="O3" s="40"/>
      <c r="P3" s="40"/>
      <c r="Q3" s="40"/>
      <c r="R3" s="40"/>
      <c r="S3" s="280"/>
      <c r="T3" s="280"/>
      <c r="U3" s="280"/>
      <c r="V3" s="280"/>
      <c r="W3" s="280"/>
      <c r="X3" s="280"/>
      <c r="Y3" s="280"/>
      <c r="Z3" s="280"/>
      <c r="AA3" s="280"/>
      <c r="AB3" s="280"/>
      <c r="AC3" s="280"/>
      <c r="AD3" s="280"/>
      <c r="AE3" s="280"/>
      <c r="AF3" s="280"/>
      <c r="AG3" s="280"/>
      <c r="AH3" s="280"/>
      <c r="AI3" s="280"/>
      <c r="AJ3" s="280"/>
      <c r="AK3" s="280"/>
      <c r="AL3" s="280"/>
      <c r="AM3" s="280"/>
      <c r="AN3" s="280"/>
    </row>
    <row r="4" spans="1:43" ht="17.100000000000001" customHeight="1" x14ac:dyDescent="0.25">
      <c r="A4" s="308"/>
      <c r="B4" s="37"/>
      <c r="C4" s="22"/>
      <c r="D4" s="1"/>
      <c r="E4" s="1"/>
      <c r="F4" s="1"/>
      <c r="G4" s="2"/>
      <c r="H4" s="38"/>
      <c r="I4" s="38"/>
      <c r="J4" s="38"/>
      <c r="K4" s="38"/>
      <c r="L4" s="39"/>
      <c r="M4" s="40"/>
      <c r="N4" s="40"/>
      <c r="O4" s="40"/>
      <c r="P4" s="40"/>
      <c r="Q4" s="40"/>
      <c r="R4" s="40"/>
    </row>
    <row r="5" spans="1:43" s="312" customFormat="1" ht="34.5" customHeight="1" x14ac:dyDescent="0.25">
      <c r="A5" s="309"/>
      <c r="B5" s="310"/>
      <c r="C5" s="604" t="s">
        <v>4</v>
      </c>
      <c r="D5" s="604"/>
      <c r="E5" s="11"/>
      <c r="F5" s="311" t="s">
        <v>280</v>
      </c>
      <c r="G5" s="12"/>
      <c r="H5" s="311" t="s">
        <v>5</v>
      </c>
      <c r="I5" s="12"/>
      <c r="J5" s="311" t="s">
        <v>6</v>
      </c>
      <c r="K5" s="13">
        <f>(G5*I5)/60</f>
        <v>0</v>
      </c>
      <c r="P5" s="313"/>
      <c r="Q5" s="99"/>
      <c r="R5" s="99"/>
      <c r="S5" s="99"/>
      <c r="T5" s="99"/>
      <c r="U5" s="99"/>
      <c r="V5" s="99"/>
      <c r="W5" s="314"/>
      <c r="X5" s="314"/>
      <c r="Y5" s="280"/>
      <c r="Z5" s="315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0"/>
      <c r="AN5" s="280"/>
      <c r="AO5" s="280"/>
      <c r="AP5" s="280"/>
      <c r="AQ5" s="280"/>
    </row>
    <row r="6" spans="1:43" ht="17.100000000000001" customHeight="1" x14ac:dyDescent="0.25">
      <c r="A6" s="308"/>
      <c r="B6" s="37"/>
      <c r="C6" s="22"/>
      <c r="D6" s="1"/>
      <c r="E6" s="1"/>
      <c r="F6" s="1"/>
      <c r="G6" s="2"/>
      <c r="H6" s="38"/>
      <c r="I6" s="38"/>
      <c r="J6" s="38"/>
      <c r="K6" s="38"/>
      <c r="L6" s="39"/>
      <c r="M6" s="40"/>
      <c r="N6" s="40"/>
      <c r="O6" s="40"/>
      <c r="P6" s="40"/>
      <c r="Q6" s="40"/>
      <c r="R6" s="40"/>
    </row>
    <row r="7" spans="1:43" ht="30" customHeight="1" x14ac:dyDescent="0.25">
      <c r="A7" s="308"/>
      <c r="B7" s="37"/>
      <c r="C7" s="22"/>
      <c r="D7" s="1"/>
      <c r="E7" s="1"/>
      <c r="F7" s="1"/>
      <c r="G7" s="1"/>
      <c r="H7" s="38"/>
      <c r="I7" s="38"/>
      <c r="J7" s="205" t="s">
        <v>7</v>
      </c>
      <c r="K7" s="316">
        <f>IF($K$5=0,0,$E$5/$K$5)</f>
        <v>0</v>
      </c>
      <c r="L7" s="39"/>
      <c r="M7" s="40"/>
      <c r="N7" s="317"/>
      <c r="O7" s="40"/>
      <c r="P7" s="40"/>
      <c r="Q7" s="40"/>
      <c r="R7" s="40"/>
    </row>
    <row r="8" spans="1:43" s="312" customFormat="1" ht="35.25" customHeight="1" x14ac:dyDescent="0.25">
      <c r="A8" s="318"/>
      <c r="B8" s="319"/>
      <c r="C8" s="605" t="s">
        <v>8</v>
      </c>
      <c r="D8" s="605"/>
      <c r="E8" s="11"/>
      <c r="F8" s="10">
        <f>IF(E8="Yes",60%,49%)</f>
        <v>0.49</v>
      </c>
      <c r="I8" s="320"/>
      <c r="L8" s="39"/>
      <c r="M8" s="99"/>
      <c r="N8" s="99"/>
      <c r="O8" s="99"/>
      <c r="P8" s="314"/>
      <c r="Q8" s="314"/>
      <c r="R8" s="280"/>
      <c r="S8" s="315"/>
      <c r="T8" s="280"/>
      <c r="U8" s="280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</row>
    <row r="9" spans="1:43" ht="35.25" customHeight="1" x14ac:dyDescent="0.25">
      <c r="A9" s="577" t="s">
        <v>9</v>
      </c>
      <c r="B9" s="577"/>
      <c r="C9" s="577"/>
      <c r="D9" s="577"/>
      <c r="E9" s="11"/>
      <c r="F9" s="2"/>
      <c r="G9" s="40"/>
      <c r="H9" s="38"/>
      <c r="I9" s="578" t="s">
        <v>12</v>
      </c>
      <c r="J9" s="606"/>
      <c r="K9" s="95" t="str">
        <f>IF(OR(A73=22,N(E$5)=0,K$7=0),"",IF(AND(OR(A73&lt;4,A73&gt;18),K7&gt;=750000),"Yes",IF(AND(AND(A73&gt;5,A73&lt;11),K7&gt;=400000),"Yes",IF(AND(AND(A73&gt;10,A73&lt;19),K7&gt;=800000),"Yes","No"))))</f>
        <v/>
      </c>
      <c r="L9" s="97" t="str">
        <f>IFERROR(IF(K9="Yes","N/A to animated productions",""),"")</f>
        <v/>
      </c>
      <c r="M9" s="40"/>
      <c r="N9" s="40"/>
      <c r="O9" s="40"/>
      <c r="P9" s="40"/>
      <c r="Q9" s="40"/>
      <c r="R9" s="40"/>
    </row>
    <row r="10" spans="1:43" s="312" customFormat="1" ht="35.25" customHeight="1" x14ac:dyDescent="0.25">
      <c r="A10" s="605" t="s">
        <v>194</v>
      </c>
      <c r="B10" s="607"/>
      <c r="C10" s="607"/>
      <c r="D10" s="608"/>
      <c r="E10" s="11"/>
      <c r="F10" s="40"/>
      <c r="H10" s="305"/>
      <c r="I10" s="578" t="s">
        <v>14</v>
      </c>
      <c r="J10" s="606"/>
      <c r="K10" s="13" t="str">
        <f>IF(N($E$5)=0,"",IF($E$5&gt;500000,"Yes","No"))</f>
        <v/>
      </c>
      <c r="L10" s="321" t="str">
        <f>IFERROR(IF($K$10="Yes","N/A to live-to-air productions",""),"")</f>
        <v/>
      </c>
      <c r="M10" s="40"/>
      <c r="N10" s="40"/>
      <c r="O10" s="40"/>
      <c r="P10" s="40"/>
      <c r="Q10" s="40"/>
      <c r="R10" s="40"/>
      <c r="S10" s="40"/>
      <c r="T10" s="40"/>
      <c r="U10" s="40"/>
      <c r="V10" s="322" t="s">
        <v>10</v>
      </c>
      <c r="W10" s="322"/>
      <c r="X10" s="208" t="s">
        <v>11</v>
      </c>
      <c r="Y10" s="40"/>
      <c r="Z10" s="40"/>
      <c r="AA10" s="40"/>
      <c r="AB10" s="280"/>
      <c r="AC10" s="280"/>
      <c r="AD10" s="280"/>
      <c r="AE10" s="280"/>
      <c r="AF10" s="280"/>
      <c r="AG10" s="280"/>
      <c r="AH10" s="280"/>
      <c r="AI10" s="280"/>
      <c r="AJ10" s="280"/>
    </row>
    <row r="11" spans="1:43" s="312" customFormat="1" ht="30" customHeight="1" x14ac:dyDescent="0.25">
      <c r="A11" s="323"/>
      <c r="B11" s="576" t="s">
        <v>195</v>
      </c>
      <c r="C11" s="576"/>
      <c r="D11" s="576"/>
      <c r="E11" s="207"/>
      <c r="F11" s="40"/>
      <c r="H11" s="305"/>
      <c r="L11" s="97"/>
      <c r="M11" s="99"/>
      <c r="N11" s="99"/>
      <c r="O11" s="99"/>
      <c r="P11" s="314"/>
      <c r="Q11" s="314"/>
      <c r="R11" s="280"/>
      <c r="S11" s="315"/>
      <c r="T11" s="280"/>
      <c r="U11" s="280"/>
      <c r="V11" s="323"/>
      <c r="W11" s="323"/>
      <c r="X11" s="206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0"/>
    </row>
    <row r="12" spans="1:43" s="312" customFormat="1" ht="30" customHeight="1" x14ac:dyDescent="0.25">
      <c r="A12" s="323"/>
      <c r="B12" s="576" t="s">
        <v>196</v>
      </c>
      <c r="C12" s="576"/>
      <c r="D12" s="576"/>
      <c r="E12" s="208" t="str">
        <f>IF($E$5&gt;0,MIN(ROUND(2%*$E$5,0),10000),"")</f>
        <v/>
      </c>
      <c r="F12" s="40"/>
      <c r="H12" s="305"/>
      <c r="L12" s="97"/>
      <c r="M12" s="99"/>
      <c r="N12" s="99"/>
      <c r="O12" s="99"/>
      <c r="P12" s="314"/>
      <c r="Q12" s="314"/>
      <c r="R12" s="280"/>
      <c r="S12" s="315"/>
      <c r="T12" s="280"/>
      <c r="U12" s="280"/>
      <c r="V12" s="323"/>
      <c r="W12" s="323"/>
      <c r="X12" s="206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</row>
    <row r="13" spans="1:43" s="312" customFormat="1" ht="30" customHeight="1" x14ac:dyDescent="0.25">
      <c r="A13" s="323"/>
      <c r="B13" s="576" t="s">
        <v>279</v>
      </c>
      <c r="C13" s="576"/>
      <c r="D13" s="576"/>
      <c r="E13" s="558" t="str">
        <f>IF(E12="","",E11-E12)</f>
        <v/>
      </c>
      <c r="F13" s="40"/>
      <c r="H13" s="305"/>
      <c r="L13" s="97"/>
      <c r="M13" s="99"/>
      <c r="N13" s="99"/>
      <c r="O13" s="99"/>
      <c r="P13" s="314"/>
      <c r="Q13" s="314"/>
      <c r="R13" s="280"/>
      <c r="S13" s="315"/>
      <c r="T13" s="280"/>
      <c r="U13" s="280"/>
      <c r="V13" s="323"/>
      <c r="W13" s="323"/>
      <c r="X13" s="206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0"/>
    </row>
    <row r="14" spans="1:43" s="312" customFormat="1" ht="30" customHeight="1" x14ac:dyDescent="0.25">
      <c r="A14" s="318"/>
      <c r="B14" s="319"/>
      <c r="C14" s="577" t="s">
        <v>13</v>
      </c>
      <c r="D14" s="577"/>
      <c r="E14" s="11"/>
      <c r="F14" s="324"/>
      <c r="H14" s="324"/>
      <c r="M14" s="99"/>
      <c r="N14" s="99"/>
      <c r="O14" s="99"/>
      <c r="P14" s="314"/>
      <c r="Q14" s="314"/>
      <c r="R14" s="280"/>
      <c r="S14" s="315"/>
      <c r="T14" s="280"/>
      <c r="U14" s="280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</row>
    <row r="15" spans="1:43" ht="17.100000000000001" customHeight="1" x14ac:dyDescent="0.25">
      <c r="A15" s="325"/>
      <c r="B15" s="326"/>
      <c r="C15" s="298"/>
      <c r="D15" s="298"/>
      <c r="E15" s="298"/>
      <c r="F15" s="298"/>
      <c r="H15" s="326"/>
      <c r="I15" s="326"/>
      <c r="J15" s="326"/>
      <c r="K15" s="326"/>
      <c r="L15" s="40"/>
      <c r="M15" s="40"/>
      <c r="N15" s="40"/>
      <c r="O15" s="40"/>
      <c r="P15" s="40"/>
      <c r="Q15" s="40"/>
      <c r="R15" s="40"/>
      <c r="AL15" s="298"/>
      <c r="AM15" s="298"/>
      <c r="AN15" s="298"/>
      <c r="AO15" s="298"/>
    </row>
    <row r="16" spans="1:43" ht="17.100000000000001" customHeight="1" x14ac:dyDescent="0.25">
      <c r="A16" s="325"/>
      <c r="B16" s="326"/>
      <c r="C16" s="298"/>
      <c r="D16" s="298"/>
      <c r="E16" s="298"/>
      <c r="F16" s="298"/>
      <c r="H16" s="326"/>
      <c r="I16" s="326"/>
      <c r="J16" s="326"/>
      <c r="K16" s="326"/>
      <c r="L16" s="40"/>
      <c r="M16" s="40"/>
      <c r="N16" s="40"/>
      <c r="O16" s="40"/>
      <c r="P16" s="40"/>
      <c r="Q16" s="40"/>
      <c r="R16" s="40"/>
      <c r="AL16" s="298"/>
      <c r="AM16" s="298"/>
      <c r="AN16" s="298"/>
      <c r="AO16" s="298"/>
    </row>
    <row r="17" spans="1:42" ht="24.75" customHeight="1" x14ac:dyDescent="0.25">
      <c r="A17" s="578" t="s">
        <v>15</v>
      </c>
      <c r="B17" s="579"/>
      <c r="C17" s="23"/>
      <c r="D17" s="23"/>
      <c r="E17" s="23"/>
      <c r="F17" s="320"/>
      <c r="G17" s="326"/>
      <c r="H17" s="40"/>
      <c r="I17" s="40"/>
      <c r="J17" s="40"/>
      <c r="K17" s="40"/>
      <c r="L17" s="39"/>
      <c r="M17" s="326"/>
      <c r="N17" s="40"/>
      <c r="O17" s="40"/>
      <c r="P17" s="40"/>
      <c r="Q17" s="40"/>
      <c r="R17" s="40"/>
    </row>
    <row r="18" spans="1:42" s="100" customFormat="1" ht="17.100000000000001" customHeight="1" x14ac:dyDescent="0.25">
      <c r="A18" s="209"/>
      <c r="B18" s="37"/>
      <c r="C18" s="209" t="s">
        <v>200</v>
      </c>
      <c r="D18" s="1"/>
      <c r="E18" s="1"/>
      <c r="F18" s="1"/>
      <c r="G18" s="2"/>
      <c r="H18" s="38"/>
      <c r="I18" s="38"/>
      <c r="J18" s="38"/>
      <c r="K18" s="38"/>
      <c r="L18" s="39"/>
      <c r="M18" s="39"/>
      <c r="N18" s="40"/>
      <c r="O18" s="39"/>
      <c r="P18" s="39"/>
      <c r="Q18" s="39"/>
      <c r="R18" s="3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</row>
    <row r="19" spans="1:42" s="100" customFormat="1" ht="17.100000000000001" customHeight="1" x14ac:dyDescent="0.25">
      <c r="A19" s="209"/>
      <c r="B19" s="37"/>
      <c r="C19" s="22"/>
      <c r="D19" s="1"/>
      <c r="E19" s="1"/>
      <c r="F19" s="1"/>
      <c r="G19" s="2"/>
      <c r="H19" s="38"/>
      <c r="I19" s="38"/>
      <c r="J19" s="38"/>
      <c r="K19" s="38"/>
      <c r="L19" s="39"/>
      <c r="M19" s="39"/>
      <c r="N19" s="40"/>
      <c r="O19" s="39"/>
      <c r="P19" s="39"/>
      <c r="Q19" s="39"/>
      <c r="R19" s="3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</row>
    <row r="20" spans="1:42" s="100" customFormat="1" ht="17.100000000000001" customHeight="1" x14ac:dyDescent="0.25">
      <c r="A20" s="209" t="s">
        <v>197</v>
      </c>
      <c r="B20" s="37"/>
      <c r="C20" s="22"/>
      <c r="D20" s="1"/>
      <c r="E20" s="1"/>
      <c r="F20" s="1"/>
      <c r="G20" s="2"/>
      <c r="H20" s="38"/>
      <c r="I20" s="38"/>
      <c r="J20" s="38"/>
      <c r="K20" s="38"/>
      <c r="L20" s="39"/>
      <c r="M20" s="39"/>
      <c r="N20" s="40"/>
      <c r="O20" s="39"/>
      <c r="P20" s="39"/>
      <c r="Q20" s="39"/>
      <c r="R20" s="3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</row>
    <row r="21" spans="1:42" s="100" customFormat="1" ht="17.100000000000001" customHeight="1" x14ac:dyDescent="0.25">
      <c r="A21" s="209" t="s">
        <v>198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0"/>
      <c r="O21" s="39"/>
      <c r="P21" s="39"/>
      <c r="Q21" s="39"/>
      <c r="R21" s="3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</row>
    <row r="22" spans="1:42" s="100" customFormat="1" ht="17.100000000000001" customHeight="1" x14ac:dyDescent="0.25">
      <c r="A22" s="210" t="s">
        <v>199</v>
      </c>
      <c r="B22" s="44"/>
      <c r="C22" s="45"/>
      <c r="D22" s="46"/>
      <c r="E22" s="24"/>
      <c r="F22" s="44"/>
      <c r="G22" s="39"/>
      <c r="H22" s="41"/>
      <c r="I22" s="327"/>
      <c r="J22" s="40"/>
      <c r="K22" s="40"/>
      <c r="L22" s="40"/>
      <c r="M22" s="40"/>
      <c r="N22" s="40"/>
      <c r="O22" s="40"/>
      <c r="P22" s="39"/>
      <c r="Q22" s="39"/>
      <c r="R22" s="3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</row>
    <row r="23" spans="1:42" ht="82.8" x14ac:dyDescent="0.25">
      <c r="A23" s="580" t="s">
        <v>17</v>
      </c>
      <c r="B23" s="581"/>
      <c r="C23" s="48" t="s">
        <v>204</v>
      </c>
      <c r="D23" s="217" t="s">
        <v>205</v>
      </c>
      <c r="E23" s="217" t="s">
        <v>206</v>
      </c>
      <c r="F23" s="217" t="s">
        <v>207</v>
      </c>
      <c r="G23" s="218" t="s">
        <v>18</v>
      </c>
      <c r="H23" s="218" t="s">
        <v>19</v>
      </c>
      <c r="I23" s="218" t="s">
        <v>20</v>
      </c>
      <c r="J23" s="214" t="s">
        <v>201</v>
      </c>
      <c r="K23" s="214" t="s">
        <v>202</v>
      </c>
      <c r="L23" s="218" t="s">
        <v>22</v>
      </c>
      <c r="M23" s="298"/>
      <c r="N23" s="40"/>
      <c r="O23" s="40"/>
      <c r="P23" s="40"/>
      <c r="Q23" s="326"/>
      <c r="R23" s="40"/>
      <c r="V23" s="54" t="s">
        <v>21</v>
      </c>
      <c r="W23" s="42" t="s">
        <v>16</v>
      </c>
      <c r="X23" s="99"/>
      <c r="Y23" s="99"/>
      <c r="Z23" s="99"/>
      <c r="AO23" s="298"/>
    </row>
    <row r="24" spans="1:42" ht="15" customHeight="1" x14ac:dyDescent="0.25">
      <c r="A24" s="211"/>
      <c r="B24" s="212"/>
      <c r="C24" s="213"/>
      <c r="D24" s="328"/>
      <c r="E24" s="219"/>
      <c r="F24" s="220"/>
      <c r="G24" s="219"/>
      <c r="H24" s="219"/>
      <c r="I24" s="219"/>
      <c r="J24" s="582" t="s">
        <v>203</v>
      </c>
      <c r="K24" s="583"/>
      <c r="L24" s="221"/>
      <c r="M24" s="298"/>
      <c r="N24" s="40"/>
      <c r="O24" s="40"/>
      <c r="P24" s="40"/>
      <c r="Q24" s="326"/>
      <c r="R24" s="40"/>
      <c r="V24" s="54"/>
      <c r="X24" s="164"/>
      <c r="Y24" s="232"/>
      <c r="Z24" s="164"/>
      <c r="AO24" s="298"/>
    </row>
    <row r="25" spans="1:42" ht="15.6" x14ac:dyDescent="0.25">
      <c r="A25" s="211"/>
      <c r="B25" s="212"/>
      <c r="C25" s="213"/>
      <c r="D25" s="222" t="str">
        <f>IF(SUM(X26:X31)&gt;0,Z26,"")</f>
        <v/>
      </c>
      <c r="E25" s="223"/>
      <c r="F25" s="224"/>
      <c r="G25" s="223"/>
      <c r="H25" s="223"/>
      <c r="I25" s="223"/>
      <c r="J25" s="584"/>
      <c r="K25" s="585"/>
      <c r="L25" s="225"/>
      <c r="M25" s="298"/>
      <c r="N25" s="40"/>
      <c r="O25" s="40"/>
      <c r="P25" s="40"/>
      <c r="Q25" s="326"/>
      <c r="R25" s="40"/>
      <c r="V25" s="54"/>
      <c r="X25" s="164" t="s">
        <v>208</v>
      </c>
      <c r="Y25" s="232"/>
      <c r="Z25" s="164"/>
      <c r="AO25" s="298"/>
    </row>
    <row r="26" spans="1:42" ht="18.899999999999999" customHeight="1" x14ac:dyDescent="0.25">
      <c r="A26" s="226" t="s">
        <v>23</v>
      </c>
      <c r="B26" s="14"/>
      <c r="C26" s="49"/>
      <c r="D26" s="227"/>
      <c r="E26" s="227"/>
      <c r="F26" s="228"/>
      <c r="G26" s="229"/>
      <c r="H26" s="230">
        <f t="shared" ref="H26:H31" si="0">DATE(YEAR(G26),(MONTH(G26)+I26),DAY(G26))</f>
        <v>0</v>
      </c>
      <c r="I26" s="215"/>
      <c r="J26" s="215"/>
      <c r="K26" s="216"/>
      <c r="L26" s="215"/>
      <c r="N26" s="40"/>
      <c r="O26" s="40"/>
      <c r="P26" s="40"/>
      <c r="Q26" s="40"/>
      <c r="R26" s="40"/>
      <c r="V26" s="55"/>
      <c r="X26" s="233">
        <f t="shared" ref="X26:X31" si="1">IF(OR(AND(D26&lt;&gt;"",E26&lt;&gt;"",F26&lt;&gt;""),AND(D26&lt;&gt;"",E26&lt;&gt;""),AND(D26&lt;&gt;"",F26&lt;&gt;""),AND(E26&lt;&gt;"",F26&lt;&gt;"")),1,0)</f>
        <v>0</v>
      </c>
      <c r="Y26" s="232">
        <f t="shared" ref="Y26:Y31" si="2">IF(AND(D26="",E26&lt;&gt;""),1,0)</f>
        <v>0</v>
      </c>
      <c r="Z26" s="232" t="s">
        <v>209</v>
      </c>
      <c r="AO26" s="298"/>
    </row>
    <row r="27" spans="1:42" ht="18.899999999999999" customHeight="1" x14ac:dyDescent="0.25">
      <c r="A27" s="329" t="s">
        <v>24</v>
      </c>
      <c r="B27" s="14"/>
      <c r="C27" s="49"/>
      <c r="D27" s="231"/>
      <c r="E27" s="231"/>
      <c r="F27" s="231"/>
      <c r="G27" s="52"/>
      <c r="H27" s="94">
        <f t="shared" si="0"/>
        <v>0</v>
      </c>
      <c r="I27" s="55"/>
      <c r="J27" s="215"/>
      <c r="K27" s="216"/>
      <c r="L27" s="55"/>
      <c r="N27" s="40"/>
      <c r="O27" s="40"/>
      <c r="P27" s="40"/>
      <c r="Q27" s="40"/>
      <c r="R27" s="40"/>
      <c r="V27" s="55"/>
      <c r="X27" s="233">
        <f t="shared" si="1"/>
        <v>0</v>
      </c>
      <c r="Y27" s="232">
        <f t="shared" si="2"/>
        <v>0</v>
      </c>
      <c r="Z27" s="232" t="s">
        <v>210</v>
      </c>
      <c r="AO27" s="298"/>
    </row>
    <row r="28" spans="1:42" ht="18.899999999999999" customHeight="1" x14ac:dyDescent="0.25">
      <c r="A28" s="329" t="s">
        <v>25</v>
      </c>
      <c r="B28" s="14"/>
      <c r="C28" s="49"/>
      <c r="D28" s="231"/>
      <c r="E28" s="231"/>
      <c r="F28" s="231"/>
      <c r="G28" s="52"/>
      <c r="H28" s="94">
        <f t="shared" si="0"/>
        <v>0</v>
      </c>
      <c r="I28" s="55"/>
      <c r="J28" s="215"/>
      <c r="K28" s="216"/>
      <c r="L28" s="55"/>
      <c r="N28" s="40"/>
      <c r="O28" s="40"/>
      <c r="P28" s="40"/>
      <c r="Q28" s="40"/>
      <c r="R28" s="40"/>
      <c r="V28" s="55"/>
      <c r="X28" s="233">
        <f t="shared" si="1"/>
        <v>0</v>
      </c>
      <c r="Y28" s="232">
        <f t="shared" si="2"/>
        <v>0</v>
      </c>
      <c r="Z28" s="234"/>
      <c r="AO28" s="298"/>
    </row>
    <row r="29" spans="1:42" ht="18.899999999999999" customHeight="1" x14ac:dyDescent="0.25">
      <c r="A29" s="329" t="s">
        <v>26</v>
      </c>
      <c r="B29" s="14"/>
      <c r="C29" s="50"/>
      <c r="D29" s="231"/>
      <c r="E29" s="231"/>
      <c r="F29" s="231"/>
      <c r="G29" s="52"/>
      <c r="H29" s="94">
        <f t="shared" si="0"/>
        <v>0</v>
      </c>
      <c r="I29" s="55"/>
      <c r="J29" s="215"/>
      <c r="K29" s="216"/>
      <c r="L29" s="55"/>
      <c r="N29" s="40"/>
      <c r="O29" s="40"/>
      <c r="P29" s="40"/>
      <c r="Q29" s="40"/>
      <c r="R29" s="40"/>
      <c r="V29" s="55"/>
      <c r="X29" s="233">
        <f t="shared" si="1"/>
        <v>0</v>
      </c>
      <c r="Y29" s="232">
        <f t="shared" si="2"/>
        <v>0</v>
      </c>
      <c r="Z29" s="234"/>
      <c r="AO29" s="298"/>
    </row>
    <row r="30" spans="1:42" ht="18.899999999999999" customHeight="1" x14ac:dyDescent="0.25">
      <c r="A30" s="329" t="s">
        <v>27</v>
      </c>
      <c r="B30" s="14"/>
      <c r="C30" s="50"/>
      <c r="D30" s="231"/>
      <c r="E30" s="231"/>
      <c r="F30" s="231"/>
      <c r="G30" s="53"/>
      <c r="H30" s="94">
        <f t="shared" si="0"/>
        <v>0</v>
      </c>
      <c r="I30" s="55"/>
      <c r="J30" s="215"/>
      <c r="K30" s="216"/>
      <c r="L30" s="56"/>
      <c r="N30" s="40"/>
      <c r="O30" s="40"/>
      <c r="P30" s="40"/>
      <c r="Q30" s="40"/>
      <c r="R30" s="40"/>
      <c r="V30" s="55"/>
      <c r="X30" s="233">
        <f t="shared" si="1"/>
        <v>0</v>
      </c>
      <c r="Y30" s="232">
        <f t="shared" si="2"/>
        <v>0</v>
      </c>
      <c r="Z30" s="234"/>
      <c r="AO30" s="298"/>
    </row>
    <row r="31" spans="1:42" ht="18.899999999999999" customHeight="1" thickBot="1" x14ac:dyDescent="0.3">
      <c r="A31" s="329" t="s">
        <v>28</v>
      </c>
      <c r="B31" s="14"/>
      <c r="C31" s="51"/>
      <c r="D31" s="231"/>
      <c r="E31" s="231"/>
      <c r="F31" s="231"/>
      <c r="G31" s="53"/>
      <c r="H31" s="94">
        <f t="shared" si="0"/>
        <v>0</v>
      </c>
      <c r="I31" s="55"/>
      <c r="J31" s="215"/>
      <c r="K31" s="216"/>
      <c r="L31" s="56"/>
      <c r="N31" s="40"/>
      <c r="O31" s="40"/>
      <c r="P31" s="40"/>
      <c r="Q31" s="40"/>
      <c r="R31" s="40"/>
      <c r="V31" s="55"/>
      <c r="X31" s="233">
        <f t="shared" si="1"/>
        <v>0</v>
      </c>
      <c r="Y31" s="232">
        <f t="shared" si="2"/>
        <v>0</v>
      </c>
      <c r="Z31" s="234"/>
      <c r="AO31" s="298"/>
    </row>
    <row r="32" spans="1:42" ht="18" customHeight="1" thickBot="1" x14ac:dyDescent="0.35">
      <c r="A32" s="15"/>
      <c r="B32" s="16" t="s">
        <v>29</v>
      </c>
      <c r="C32" s="92">
        <f>SUM(C26:C31)</f>
        <v>0</v>
      </c>
      <c r="D32" s="92">
        <f>SUM(D26:D31)</f>
        <v>0</v>
      </c>
      <c r="E32" s="92">
        <f>SUM(E26:E31)</f>
        <v>0</v>
      </c>
      <c r="F32" s="92">
        <f>SUM(F26:F31)</f>
        <v>0</v>
      </c>
      <c r="G32" s="296"/>
      <c r="H32" s="296"/>
      <c r="I32" s="296"/>
      <c r="J32" s="296"/>
      <c r="K32" s="40"/>
      <c r="N32" s="40"/>
      <c r="O32" s="40"/>
      <c r="P32" s="40"/>
      <c r="Q32" s="40"/>
      <c r="R32" s="40"/>
      <c r="AO32" s="298"/>
    </row>
    <row r="33" spans="1:41" s="100" customFormat="1" ht="22.5" customHeight="1" thickBot="1" x14ac:dyDescent="0.3">
      <c r="A33" s="586" t="s">
        <v>30</v>
      </c>
      <c r="B33" s="586"/>
      <c r="C33" s="93">
        <f>IF(X10="Yes",E14,0)</f>
        <v>0</v>
      </c>
      <c r="D33" s="330"/>
      <c r="E33" s="330"/>
      <c r="F33" s="330"/>
      <c r="G33" s="330"/>
      <c r="H33" s="330"/>
      <c r="I33" s="330"/>
      <c r="J33" s="331"/>
      <c r="K33" s="39"/>
      <c r="M33" s="40"/>
      <c r="N33" s="39"/>
      <c r="O33" s="39"/>
      <c r="P33" s="39"/>
      <c r="Q33" s="39"/>
      <c r="R33" s="3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</row>
    <row r="34" spans="1:41" ht="20.100000000000001" customHeight="1" x14ac:dyDescent="0.25">
      <c r="A34" s="332"/>
      <c r="B34" s="333"/>
      <c r="C34" s="3"/>
      <c r="D34" s="3"/>
      <c r="E34" s="3"/>
      <c r="F34" s="3"/>
      <c r="G34" s="4"/>
      <c r="H34" s="4"/>
      <c r="I34" s="5"/>
      <c r="J34" s="334"/>
      <c r="K34" s="334"/>
      <c r="L34" s="334"/>
      <c r="M34" s="40"/>
      <c r="N34" s="40"/>
      <c r="O34" s="40"/>
      <c r="P34" s="40"/>
      <c r="Q34" s="40"/>
      <c r="R34" s="40"/>
      <c r="AO34" s="298"/>
    </row>
    <row r="35" spans="1:41" s="100" customFormat="1" ht="21.75" customHeight="1" x14ac:dyDescent="0.25">
      <c r="A35" s="587" t="s">
        <v>31</v>
      </c>
      <c r="B35" s="589"/>
      <c r="C35" s="590"/>
      <c r="D35" s="590"/>
      <c r="E35" s="590"/>
      <c r="F35" s="590"/>
      <c r="G35" s="590"/>
      <c r="H35" s="590"/>
      <c r="I35" s="590"/>
      <c r="J35" s="590"/>
      <c r="K35" s="590"/>
      <c r="L35" s="591"/>
      <c r="M35" s="40"/>
      <c r="N35" s="40"/>
      <c r="O35" s="39"/>
      <c r="P35" s="39"/>
      <c r="Q35" s="39"/>
      <c r="R35" s="3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</row>
    <row r="36" spans="1:41" s="100" customFormat="1" ht="21.75" customHeight="1" x14ac:dyDescent="0.25">
      <c r="A36" s="588"/>
      <c r="B36" s="592"/>
      <c r="C36" s="593"/>
      <c r="D36" s="593"/>
      <c r="E36" s="593"/>
      <c r="F36" s="593"/>
      <c r="G36" s="593"/>
      <c r="H36" s="593"/>
      <c r="I36" s="593"/>
      <c r="J36" s="593"/>
      <c r="K36" s="593"/>
      <c r="L36" s="594"/>
      <c r="M36" s="40"/>
      <c r="N36" s="40"/>
      <c r="O36" s="39"/>
      <c r="P36" s="39"/>
      <c r="Q36" s="39"/>
      <c r="R36" s="3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</row>
    <row r="37" spans="1:41" ht="15.75" customHeight="1" x14ac:dyDescent="0.25">
      <c r="A37" s="335"/>
      <c r="B37" s="331"/>
      <c r="C37" s="331"/>
      <c r="D37" s="331"/>
      <c r="E37" s="331"/>
      <c r="F37" s="331"/>
      <c r="G37" s="331"/>
      <c r="H37" s="331"/>
      <c r="I37" s="331"/>
      <c r="J37" s="331"/>
      <c r="K37" s="331"/>
      <c r="L37" s="40"/>
      <c r="M37" s="40"/>
      <c r="N37" s="40"/>
      <c r="O37" s="40"/>
      <c r="P37" s="40"/>
      <c r="Q37" s="40"/>
      <c r="R37" s="40"/>
      <c r="AL37" s="298"/>
      <c r="AM37" s="298"/>
      <c r="AN37" s="298"/>
      <c r="AO37" s="298"/>
    </row>
    <row r="38" spans="1:41" s="281" customFormat="1" ht="30" customHeight="1" x14ac:dyDescent="0.25">
      <c r="A38" s="595" t="s">
        <v>212</v>
      </c>
      <c r="B38" s="595"/>
      <c r="C38" s="595"/>
      <c r="D38" s="595"/>
      <c r="E38" s="595"/>
      <c r="F38" s="595"/>
      <c r="G38" s="595"/>
      <c r="H38" s="596"/>
      <c r="I38" s="596"/>
      <c r="J38" s="596"/>
      <c r="K38" s="596"/>
      <c r="L38" s="596"/>
      <c r="M38" s="40"/>
      <c r="N38" s="40"/>
      <c r="O38" s="39"/>
      <c r="P38" s="39"/>
      <c r="Q38" s="39"/>
      <c r="R38" s="40"/>
      <c r="S38" s="280"/>
      <c r="T38" s="280"/>
      <c r="U38" s="280"/>
      <c r="V38" s="280"/>
      <c r="W38" s="280"/>
      <c r="X38" s="280"/>
    </row>
    <row r="39" spans="1:41" ht="64.95" customHeight="1" x14ac:dyDescent="0.25">
      <c r="A39" s="597" t="s">
        <v>32</v>
      </c>
      <c r="B39" s="598"/>
      <c r="C39" s="290" t="str">
        <f>IF($D$32&gt;0,"Maximum Licence Fee Top-Up",
IF(AND($D$32=0,$E$32&gt;0),"Maximum Contribution","Maximum Licence Fee Top-Up/Contribution"))</f>
        <v>Maximum Licence Fee Top-Up/Contribution</v>
      </c>
      <c r="D39" s="226" t="s">
        <v>33</v>
      </c>
      <c r="E39" s="336" t="s">
        <v>34</v>
      </c>
      <c r="F39" s="336" t="s">
        <v>35</v>
      </c>
      <c r="G39" s="47" t="s">
        <v>219</v>
      </c>
      <c r="H39" s="47" t="s">
        <v>220</v>
      </c>
      <c r="I39" s="47" t="s">
        <v>221</v>
      </c>
      <c r="J39" s="270" t="s">
        <v>222</v>
      </c>
      <c r="K39" s="271" t="s">
        <v>223</v>
      </c>
      <c r="L39" s="271" t="s">
        <v>224</v>
      </c>
      <c r="M39" s="40"/>
      <c r="N39" s="40"/>
      <c r="R39" s="40"/>
      <c r="V39" s="54" t="s">
        <v>36</v>
      </c>
      <c r="W39" s="337" t="s">
        <v>37</v>
      </c>
      <c r="X39" s="337" t="s">
        <v>38</v>
      </c>
    </row>
    <row r="40" spans="1:41" x14ac:dyDescent="0.25">
      <c r="A40" s="338" t="s">
        <v>23</v>
      </c>
      <c r="B40" s="339">
        <f>$B$26</f>
        <v>0</v>
      </c>
      <c r="C40" s="87">
        <f t="shared" ref="C40:C45" si="3">IF($C$46&gt;0,ROUND(E40/$E$46*$C$46,0),0)</f>
        <v>0</v>
      </c>
      <c r="D40" s="87">
        <f t="shared" ref="D40:D45" si="4">IF($D$46&gt;0,E40/$E$46*$D$46,0)</f>
        <v>0</v>
      </c>
      <c r="E40" s="88">
        <f t="shared" ref="E40:E45" si="5">IF($E$46=0,0,ROUND(+C26/C$32*E$46,0))</f>
        <v>0</v>
      </c>
      <c r="F40" s="188" t="str">
        <f t="shared" ref="F40:F45" si="6">IF($E$5=0,"",(C40+D40)/$E$5)</f>
        <v/>
      </c>
      <c r="G40" s="87">
        <f>IF($E$5=0,0,
IF(AND($D26&lt;&gt;"",$X26=0,$H59&lt;&gt;"N/A"),$H59,0))</f>
        <v>0</v>
      </c>
      <c r="H40" s="87">
        <f>IF(OR($E$5=0,$B60="Missing information"),0,
IF(AND($E26&lt;&gt;"",$X26=0,$H59&lt;&gt;"N/A"),$H59,
IF(AND($E26&lt;&gt;"",$X26=0,$H59="N/A"),$E26,0)))</f>
        <v>0</v>
      </c>
      <c r="I40" s="272" t="s">
        <v>39</v>
      </c>
      <c r="J40" s="87">
        <f t="shared" ref="J40:J45" si="7">N(G40)+N(H40)+N(I40)</f>
        <v>0</v>
      </c>
      <c r="K40" s="188" t="str">
        <f t="shared" ref="K40:K45" si="8">IF(E$5=0,"",J40/E$5)</f>
        <v/>
      </c>
      <c r="L40" s="87">
        <f t="shared" ref="L40:L45" si="9">IF(X26=1,0,
N(D26)+N(E26)+N(F26)-J40)</f>
        <v>0</v>
      </c>
      <c r="M40" s="40"/>
      <c r="N40" s="40"/>
      <c r="R40" s="40"/>
      <c r="V40" s="340">
        <f>IF($I$26&lt;84,$I$26,84)</f>
        <v>0</v>
      </c>
      <c r="W40" s="341"/>
      <c r="X40" s="342" t="s">
        <v>39</v>
      </c>
    </row>
    <row r="41" spans="1:41" x14ac:dyDescent="0.25">
      <c r="A41" s="338" t="s">
        <v>24</v>
      </c>
      <c r="B41" s="339">
        <f>$B$27</f>
        <v>0</v>
      </c>
      <c r="C41" s="87">
        <f t="shared" si="3"/>
        <v>0</v>
      </c>
      <c r="D41" s="87">
        <f t="shared" si="4"/>
        <v>0</v>
      </c>
      <c r="E41" s="88">
        <f t="shared" si="5"/>
        <v>0</v>
      </c>
      <c r="F41" s="188" t="str">
        <f t="shared" si="6"/>
        <v/>
      </c>
      <c r="G41" s="87">
        <f>IF($E$5=0,0,
IF(AND($D27&lt;&gt;"",$X27=0,$H61&lt;&gt;"N/A"),$H61,0))</f>
        <v>0</v>
      </c>
      <c r="H41" s="87">
        <f>IF(OR($E$5=0,$B62="Missing information"),0,
IF(AND($E27&lt;&gt;"",$X27=0,$H61&lt;&gt;"N/A"),$H61,
IF(AND($E27&lt;&gt;"",$X27=0,$H61="N/A"),$E27,0)))</f>
        <v>0</v>
      </c>
      <c r="I41" s="89">
        <f>IF($I$46&gt;0,MIN(F27,(F27/$F$32)*I$46),0)</f>
        <v>0</v>
      </c>
      <c r="J41" s="87">
        <f t="shared" si="7"/>
        <v>0</v>
      </c>
      <c r="K41" s="188" t="str">
        <f t="shared" si="8"/>
        <v/>
      </c>
      <c r="L41" s="87">
        <f t="shared" si="9"/>
        <v>0</v>
      </c>
      <c r="M41" s="40"/>
      <c r="N41" s="40"/>
      <c r="R41" s="40"/>
      <c r="V41" s="340">
        <f>IF($I$27&lt;84,$I$27,84)</f>
        <v>0</v>
      </c>
      <c r="W41" s="341"/>
      <c r="X41" s="343">
        <f>IF($G$27&gt;DATE(YEAR($G$26),MONTH($G$26)+$W$40,DAY($G$26)),$G$27,DATE(YEAR($G$26),MONTH($G$26)+W40,DAY($G$26)))</f>
        <v>0</v>
      </c>
    </row>
    <row r="42" spans="1:41" x14ac:dyDescent="0.25">
      <c r="A42" s="338" t="s">
        <v>25</v>
      </c>
      <c r="B42" s="339">
        <f>$B$28</f>
        <v>0</v>
      </c>
      <c r="C42" s="87">
        <f t="shared" si="3"/>
        <v>0</v>
      </c>
      <c r="D42" s="87">
        <f t="shared" si="4"/>
        <v>0</v>
      </c>
      <c r="E42" s="88">
        <f t="shared" si="5"/>
        <v>0</v>
      </c>
      <c r="F42" s="188" t="str">
        <f t="shared" si="6"/>
        <v/>
      </c>
      <c r="G42" s="87">
        <f>IF($E$5=0,0,
IF(AND($D28&lt;&gt;"",$X28=0,$H63&lt;&gt;"N/A"),$H63,0))</f>
        <v>0</v>
      </c>
      <c r="H42" s="87">
        <f>IF(OR($E$5=0,$B64="Missing information"),0,
IF(AND($E28&lt;&gt;"",$X28=0,$H63&lt;&gt;"N/A"),$H63,
IF(AND($E28&lt;&gt;"",$X28=0,$H63="N/A"),$E28,0)))</f>
        <v>0</v>
      </c>
      <c r="I42" s="89">
        <f>IF($I$46&gt;0,MIN(F28,(F28/$F$32)*I$46),0)</f>
        <v>0</v>
      </c>
      <c r="J42" s="87">
        <f t="shared" si="7"/>
        <v>0</v>
      </c>
      <c r="K42" s="188" t="str">
        <f t="shared" si="8"/>
        <v/>
      </c>
      <c r="L42" s="87">
        <f t="shared" si="9"/>
        <v>0</v>
      </c>
      <c r="M42" s="40"/>
      <c r="N42" s="40"/>
      <c r="R42" s="40"/>
      <c r="V42" s="340">
        <f>IF($I$28&lt;84,$I$28,84)</f>
        <v>0</v>
      </c>
      <c r="W42" s="341"/>
      <c r="X42" s="343">
        <f>IF($G$28&gt;DATE(YEAR($G$26),MONTH($G$26)+$W$40+$W$41,DAY($G$26)),$G$28,DATE(YEAR($G$26),MONTH($G$26)+$W$40+$W$41,DAY($G$26)))</f>
        <v>0</v>
      </c>
    </row>
    <row r="43" spans="1:41" x14ac:dyDescent="0.25">
      <c r="A43" s="338" t="s">
        <v>26</v>
      </c>
      <c r="B43" s="339">
        <f>$B$29</f>
        <v>0</v>
      </c>
      <c r="C43" s="87">
        <f t="shared" si="3"/>
        <v>0</v>
      </c>
      <c r="D43" s="87">
        <f t="shared" si="4"/>
        <v>0</v>
      </c>
      <c r="E43" s="88">
        <f t="shared" si="5"/>
        <v>0</v>
      </c>
      <c r="F43" s="188" t="str">
        <f t="shared" si="6"/>
        <v/>
      </c>
      <c r="G43" s="87">
        <f>IF($E$5=0,0,
IF(AND($D29&lt;&gt;"",$X29=0,$H65&lt;&gt;"N/A"),$H65,0))</f>
        <v>0</v>
      </c>
      <c r="H43" s="87">
        <f>IF(OR($E$5=0,$B66="Missing information"),0,
IF(AND($E29&lt;&gt;"",$X29=0,$H65&lt;&gt;"N/A"),$H65,
IF(AND($E29&lt;&gt;"",$X29=0,$H65="N/A"),$E29,0)))</f>
        <v>0</v>
      </c>
      <c r="I43" s="89">
        <f>IF($I$46&gt;0,MIN(F29,(F29/$F$32)*I$46),0)</f>
        <v>0</v>
      </c>
      <c r="J43" s="87">
        <f t="shared" si="7"/>
        <v>0</v>
      </c>
      <c r="K43" s="188" t="str">
        <f t="shared" si="8"/>
        <v/>
      </c>
      <c r="L43" s="87">
        <f t="shared" si="9"/>
        <v>0</v>
      </c>
      <c r="M43" s="40"/>
      <c r="N43" s="40"/>
      <c r="R43" s="40"/>
      <c r="V43" s="340">
        <f>IF($I$29&lt;84,$I$29,84)</f>
        <v>0</v>
      </c>
      <c r="W43" s="341"/>
      <c r="X43" s="343">
        <f>IF($G$29&gt;DATE(YEAR($G$26),MONTH($G$26)+$W$40+$W$41+$W$42,DAY($G$26)),$G$29,DATE(YEAR($G$26),MONTH($G$26)+$W$40+$W$41+$W$42,DAY($G$26)))</f>
        <v>0</v>
      </c>
    </row>
    <row r="44" spans="1:41" x14ac:dyDescent="0.25">
      <c r="A44" s="338" t="s">
        <v>27</v>
      </c>
      <c r="B44" s="339">
        <f>$B$30</f>
        <v>0</v>
      </c>
      <c r="C44" s="87">
        <f t="shared" si="3"/>
        <v>0</v>
      </c>
      <c r="D44" s="87">
        <f t="shared" si="4"/>
        <v>0</v>
      </c>
      <c r="E44" s="88">
        <f t="shared" si="5"/>
        <v>0</v>
      </c>
      <c r="F44" s="188" t="str">
        <f t="shared" si="6"/>
        <v/>
      </c>
      <c r="G44" s="87">
        <f>IF($E$5=0,0,
IF(AND($D30&lt;&gt;"",$X30=0,$H67&lt;&gt;"N/A"),$H67,0))</f>
        <v>0</v>
      </c>
      <c r="H44" s="87">
        <f>IF(OR($E$5=0,$B68="Missing information"),0,
IF(AND($E30&lt;&gt;"",$X30=0,$H67&lt;&gt;"N/A"),$H67,
IF(AND($E30&lt;&gt;"",$X30=0,$H67="N/A"),$E30,0)))</f>
        <v>0</v>
      </c>
      <c r="I44" s="89">
        <f>IF($I$46&gt;0,MIN(F30,(F30/$F$32)*I$46),0)</f>
        <v>0</v>
      </c>
      <c r="J44" s="87">
        <f t="shared" si="7"/>
        <v>0</v>
      </c>
      <c r="K44" s="188" t="str">
        <f t="shared" si="8"/>
        <v/>
      </c>
      <c r="L44" s="87">
        <f t="shared" si="9"/>
        <v>0</v>
      </c>
      <c r="M44" s="40"/>
      <c r="N44" s="40"/>
      <c r="R44" s="40"/>
      <c r="V44" s="340">
        <f>IF($I$30&lt;84,$I$30,84)</f>
        <v>0</v>
      </c>
      <c r="W44" s="341"/>
      <c r="X44" s="343">
        <f>IF($G$30&gt;DATE(YEAR($G$26),MONTH($G$26)+$W$40+$W$41+$W$42+$W$43,DAY($G$26)),$G$30,DATE(YEAR($G$26),MONTH($G$26)+$W$40+$W$41+$W$42+$W$43,DAY($G$26)))</f>
        <v>0</v>
      </c>
    </row>
    <row r="45" spans="1:41" ht="15.6" thickBot="1" x14ac:dyDescent="0.3">
      <c r="A45" s="244" t="s">
        <v>28</v>
      </c>
      <c r="B45" s="344">
        <f>$B$31</f>
        <v>0</v>
      </c>
      <c r="C45" s="90">
        <f t="shared" si="3"/>
        <v>0</v>
      </c>
      <c r="D45" s="90">
        <f t="shared" si="4"/>
        <v>0</v>
      </c>
      <c r="E45" s="91">
        <f t="shared" si="5"/>
        <v>0</v>
      </c>
      <c r="F45" s="188" t="str">
        <f t="shared" si="6"/>
        <v/>
      </c>
      <c r="G45" s="87">
        <f>IF($E$5=0,0,
IF(AND($D31&lt;&gt;"",$X31=0,$H69&lt;&gt;"N/A"),$H69,0))</f>
        <v>0</v>
      </c>
      <c r="H45" s="87">
        <f>IF(OR($E$5=0,$B70="Missing information"),0,
IF(AND($E31&lt;&gt;"",$X31=0,$H69&lt;&gt;"N/A"),$H69,
IF(AND($E31&lt;&gt;"",$X31=0,$H69="N/A"),$E31,0)))</f>
        <v>0</v>
      </c>
      <c r="I45" s="89">
        <f>IF($I$46&gt;0,MIN(F31,(F31/$F$32)*I$46),0)</f>
        <v>0</v>
      </c>
      <c r="J45" s="87">
        <f t="shared" si="7"/>
        <v>0</v>
      </c>
      <c r="K45" s="658" t="str">
        <f t="shared" si="8"/>
        <v/>
      </c>
      <c r="L45" s="87">
        <f t="shared" si="9"/>
        <v>0</v>
      </c>
      <c r="M45" s="40"/>
      <c r="N45" s="40"/>
      <c r="R45" s="40"/>
      <c r="V45" s="340">
        <f>IF($I$31&lt;84,$I$31,84)</f>
        <v>0</v>
      </c>
      <c r="W45" s="341"/>
      <c r="X45" s="343">
        <f>IF($G$31&gt;DATE(YEAR($G$26),MONTH($G$26)+$W$40+$W$41+$W$42+$W$43+$W$44,DAY($G$26)),$G$31,DATE(YEAR($G$26),MONTH($G$26)+$W$40+$W$41+$W$42+$W$43+$W$44,DAY($G$26)))</f>
        <v>0</v>
      </c>
    </row>
    <row r="46" spans="1:41" ht="15.6" thickBot="1" x14ac:dyDescent="0.3">
      <c r="A46" s="345"/>
      <c r="B46" s="21" t="s">
        <v>40</v>
      </c>
      <c r="C46" s="84">
        <f>IF(E46-($E$5*0.2)&lt;100000,E46,IF((E5*0.2)&lt;E46,ROUND(E5*0.2,0),E46))</f>
        <v>0</v>
      </c>
      <c r="D46" s="84">
        <f>E46-C46</f>
        <v>0</v>
      </c>
      <c r="E46" s="84">
        <f>IF(MAX(F$99:F$100)&lt;C32,MAX(F$99:F$100),C32)</f>
        <v>0</v>
      </c>
      <c r="F46" s="189">
        <f>SUM(F40:F45)</f>
        <v>0</v>
      </c>
      <c r="G46" s="85">
        <f>SUM(G40:G45)</f>
        <v>0</v>
      </c>
      <c r="H46" s="85">
        <f>SUM(H40:H45)</f>
        <v>0</v>
      </c>
      <c r="I46" s="85">
        <f>IF($H$46+$G$46=0,0,IF(F$32&lt;=MAX(G75:G83),F$32,MAX(G75:G83)))</f>
        <v>0</v>
      </c>
      <c r="J46" s="85">
        <f>H46+I46+G46</f>
        <v>0</v>
      </c>
      <c r="K46" s="86">
        <f>SUM(K40:K45)</f>
        <v>0</v>
      </c>
      <c r="L46" s="273">
        <f>SUM(L40:L45)</f>
        <v>0</v>
      </c>
      <c r="M46" s="40"/>
      <c r="N46" s="326"/>
      <c r="O46" s="40"/>
      <c r="P46" s="40"/>
      <c r="Q46" s="40"/>
      <c r="R46" s="40"/>
      <c r="AK46" s="298"/>
      <c r="AL46" s="298"/>
      <c r="AM46" s="298"/>
      <c r="AN46" s="298"/>
      <c r="AO46" s="298"/>
    </row>
    <row r="47" spans="1:41" s="100" customFormat="1" ht="22.5" customHeight="1" thickBot="1" x14ac:dyDescent="0.3">
      <c r="A47" s="41"/>
      <c r="B47" s="41"/>
      <c r="C47" s="599" t="s">
        <v>30</v>
      </c>
      <c r="D47" s="599"/>
      <c r="E47" s="84">
        <f>IF($X$10="Yes",MIN($E$14,MAX($I$100:$I$100)),"")</f>
        <v>0</v>
      </c>
      <c r="F47" s="190">
        <f>IF(AND($X$10="Yes",$E$14&gt;0),($E$47)/$E$5,0)</f>
        <v>0</v>
      </c>
      <c r="G47" s="330"/>
      <c r="H47" s="330"/>
      <c r="I47" s="40"/>
      <c r="J47" s="40"/>
      <c r="K47" s="40"/>
      <c r="L47" s="331"/>
      <c r="M47" s="40"/>
      <c r="N47" s="39"/>
      <c r="O47" s="39"/>
      <c r="P47" s="39"/>
      <c r="Q47" s="39"/>
      <c r="R47" s="3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</row>
    <row r="48" spans="1:41" ht="20.100000000000001" customHeight="1" x14ac:dyDescent="0.25">
      <c r="A48" s="274" t="s">
        <v>225</v>
      </c>
      <c r="B48" s="275"/>
      <c r="C48" s="275"/>
      <c r="D48" s="275"/>
      <c r="E48" s="275"/>
      <c r="F48" s="276"/>
      <c r="G48" s="276"/>
      <c r="H48" s="277" t="str">
        <f>IF(AND($A$73&lt;11,G46+H46&gt;0,F32&gt;0,E5&gt;0,SUM(N(D75),N(D76),N(D77),N(D78),N(D80),N(D81),N(D82),N(D83))&gt;0),"ELF + EDA / Threshold:","")</f>
        <v/>
      </c>
      <c r="I48" s="201" t="str">
        <f>IF(AND($A$73&lt;11,G46+H46&gt;0,F32&gt;0,E5&gt;0,SUM(N(D75),N(D76),N(D77),N(D78),N(D80),N(D81),N(D82),N(D83))&gt;0),
(G46+H46)/SUM(N(D75),N(D76),N(D77),N(D78),N(D80),N(D81),N(D82),N(D83)),
"")</f>
        <v/>
      </c>
      <c r="J48" s="278"/>
      <c r="K48" s="279"/>
      <c r="L48" s="279"/>
      <c r="M48" s="279"/>
      <c r="N48" s="40"/>
      <c r="O48" s="40"/>
      <c r="P48" s="40"/>
      <c r="Q48" s="40"/>
      <c r="R48" s="40"/>
    </row>
    <row r="49" spans="1:40" hidden="1" x14ac:dyDescent="0.25">
      <c r="B49" s="36"/>
      <c r="C49" s="36"/>
      <c r="D49" s="36"/>
      <c r="E49" s="36"/>
      <c r="F49" s="36"/>
      <c r="G49" s="36"/>
      <c r="H49" s="36"/>
      <c r="I49" s="346"/>
      <c r="J49" s="346"/>
      <c r="K49" s="347"/>
      <c r="L49" s="39"/>
      <c r="M49" s="40"/>
      <c r="N49" s="40"/>
      <c r="O49" s="40"/>
      <c r="P49" s="40"/>
      <c r="Q49" s="40"/>
      <c r="R49" s="40"/>
    </row>
    <row r="50" spans="1:40" hidden="1" x14ac:dyDescent="0.25">
      <c r="A50" s="238" t="s">
        <v>213</v>
      </c>
      <c r="B50" s="239"/>
      <c r="C50" s="234"/>
      <c r="D50" s="234"/>
      <c r="E50" s="234"/>
      <c r="F50" s="234"/>
      <c r="G50" s="234"/>
      <c r="H50" s="234"/>
      <c r="I50" s="234"/>
      <c r="J50" s="234"/>
      <c r="K50" s="234"/>
      <c r="L50" s="39"/>
      <c r="M50" s="40"/>
      <c r="N50" s="40"/>
      <c r="O50" s="40"/>
      <c r="P50" s="40"/>
      <c r="Q50" s="40"/>
      <c r="R50" s="40"/>
    </row>
    <row r="51" spans="1:40" hidden="1" x14ac:dyDescent="0.25">
      <c r="A51" s="574" t="s">
        <v>214</v>
      </c>
      <c r="B51" s="575"/>
      <c r="C51" s="575"/>
      <c r="D51" s="575"/>
      <c r="E51" s="575"/>
      <c r="F51" s="575"/>
      <c r="G51" s="575"/>
      <c r="H51" s="575"/>
      <c r="I51" s="575"/>
      <c r="J51" s="575"/>
      <c r="K51" s="575"/>
      <c r="L51" s="39"/>
      <c r="M51" s="40"/>
      <c r="N51" s="40"/>
      <c r="O51" s="40"/>
      <c r="P51" s="40"/>
      <c r="Q51" s="40"/>
      <c r="R51" s="40"/>
    </row>
    <row r="52" spans="1:40" hidden="1" x14ac:dyDescent="0.25">
      <c r="A52" s="241"/>
      <c r="B52" s="241"/>
      <c r="C52" s="241"/>
      <c r="D52" s="241"/>
      <c r="E52" s="241"/>
      <c r="F52" s="241"/>
      <c r="G52" s="241"/>
      <c r="H52" s="241"/>
      <c r="I52" s="241"/>
      <c r="J52" s="241"/>
      <c r="K52" s="241"/>
      <c r="L52" s="39"/>
      <c r="M52" s="40"/>
      <c r="N52" s="40"/>
      <c r="O52" s="40"/>
      <c r="P52" s="40"/>
      <c r="Q52" s="40"/>
      <c r="R52" s="40"/>
    </row>
    <row r="53" spans="1:40" hidden="1" x14ac:dyDescent="0.25">
      <c r="A53" s="241"/>
      <c r="B53" s="242"/>
      <c r="C53" s="243" t="str">
        <f>IF(AND(E26&gt;0,X26=0,B26&lt;&gt;""),B26,"")</f>
        <v/>
      </c>
      <c r="D53" s="243" t="str">
        <f>IF(AND(E27&gt;0,X27=0,B27&lt;&gt;""),B27,"")</f>
        <v/>
      </c>
      <c r="E53" s="243" t="str">
        <f>IF(AND(E28&gt;0,X28=0,B28&lt;&gt;""),B28,"")</f>
        <v/>
      </c>
      <c r="F53" s="243" t="str">
        <f>IF(AND(E29&gt;0,X29=0,B29&lt;&gt;""),B29,"")</f>
        <v/>
      </c>
      <c r="G53" s="243" t="str">
        <f>IF(AND(E30&gt;0,X30=0,B30&lt;&gt;""),B30,"")</f>
        <v/>
      </c>
      <c r="H53" s="243" t="str">
        <f>IF(AND(E31&gt;0,X31=0,B31&lt;&gt;""),B31,"")</f>
        <v/>
      </c>
      <c r="I53" s="241"/>
      <c r="J53" s="241"/>
      <c r="K53" s="241"/>
      <c r="L53" s="39"/>
      <c r="M53" s="40"/>
      <c r="N53" s="40"/>
      <c r="O53" s="40"/>
      <c r="P53" s="40"/>
      <c r="Q53" s="40"/>
      <c r="R53" s="40"/>
    </row>
    <row r="54" spans="1:40" hidden="1" x14ac:dyDescent="0.25">
      <c r="A54" s="241"/>
      <c r="B54" s="242"/>
      <c r="C54" s="244" t="s">
        <v>23</v>
      </c>
      <c r="D54" s="244" t="s">
        <v>24</v>
      </c>
      <c r="E54" s="244" t="s">
        <v>25</v>
      </c>
      <c r="F54" s="244" t="s">
        <v>26</v>
      </c>
      <c r="G54" s="244" t="s">
        <v>27</v>
      </c>
      <c r="H54" s="244" t="s">
        <v>28</v>
      </c>
      <c r="I54" s="241"/>
      <c r="J54" s="241"/>
      <c r="K54" s="241"/>
      <c r="L54" s="39"/>
      <c r="M54" s="40"/>
      <c r="N54" s="40"/>
      <c r="O54" s="40"/>
      <c r="P54" s="40"/>
      <c r="Q54" s="40"/>
      <c r="R54" s="40"/>
    </row>
    <row r="55" spans="1:40" hidden="1" x14ac:dyDescent="0.25">
      <c r="A55" s="560" t="s">
        <v>215</v>
      </c>
      <c r="B55" s="561"/>
      <c r="C55" s="64" t="str">
        <f>IF(OR($E$4="",E26="",X26=1,J26=0,K26=0),"",
IF(V59=TRUE,"Yes","No"))</f>
        <v/>
      </c>
      <c r="D55" s="64" t="str">
        <f>IF(OR($E$4="",E27="",X27=1,J27="",K27=""),"",
IF($V61=TRUE,"Yes","No"))</f>
        <v/>
      </c>
      <c r="E55" s="64" t="str">
        <f>IF(OR($E$4="",E28="",X28=1,J28="",K28=""),"",
IF($V63=TRUE,"Yes","No"))</f>
        <v/>
      </c>
      <c r="F55" s="64" t="str">
        <f>IF(OR($E$4="",E29="",X29=1,J29="",K29=""),"",
IF($V65=TRUE,"Yes","No"))</f>
        <v/>
      </c>
      <c r="G55" s="64" t="str">
        <f>IF(OR($E$4="",E30="",X30=1,J30="",K30=""),"",
IF($V67=TRUE,"Yes","No"))</f>
        <v/>
      </c>
      <c r="H55" s="64" t="str">
        <f>IF(OR($E$4="",E31="",X31=1,J31="",K31=""),"",
IF($V69=TRUE,"Yes","No"))</f>
        <v/>
      </c>
      <c r="I55" s="241"/>
      <c r="J55" s="241"/>
      <c r="K55" s="241"/>
      <c r="L55" s="39"/>
      <c r="M55" s="40"/>
      <c r="N55" s="40"/>
      <c r="O55" s="40"/>
      <c r="P55" s="40"/>
      <c r="Q55" s="40"/>
      <c r="R55" s="40"/>
    </row>
    <row r="56" spans="1:40" ht="15.6" hidden="1" x14ac:dyDescent="0.25">
      <c r="A56" s="562" t="s">
        <v>216</v>
      </c>
      <c r="B56" s="563"/>
      <c r="C56" s="64" t="str">
        <f>IF(C55="","",
IF(AND(C55="",I26=""),"",
IF(C55="No","N/A",
IF(AND($C55="Yes",D59-F59&gt;0),"No","Yes"))))</f>
        <v/>
      </c>
      <c r="D56" s="64" t="str">
        <f>IF(D55="","",
IF(AND(D55="Yes",I27=""),"",
IF(D55="No","N/A",
IF(AND(D55="Yes",D61-F61&gt;0),"No","Yes"))))</f>
        <v/>
      </c>
      <c r="E56" s="64" t="str">
        <f>IF(E55="","",
IF(AND(E55="",I28=""),"",
IF(E55="No","N/A",
IF(AND(E55="Yes",D63-F63&gt;0),"No","Yes"))))</f>
        <v/>
      </c>
      <c r="F56" s="64" t="str">
        <f>IF(F55="","",
IF(AND(F55="",I29=""),"",
IF(F55="No","N/A",
IF(AND(F55="Yes",D65-F65&gt;0),"No","Yes"))))</f>
        <v/>
      </c>
      <c r="G56" s="64" t="str">
        <f>IF(G55="","",
IF(AND(G55="",I30=""),"",
IF(G55="No","N/A",
IF(AND(G55="Yes",D67-F67&gt;0),"No","Yes"))))</f>
        <v/>
      </c>
      <c r="H56" s="64" t="str">
        <f>IF(H55="","",
IF(AND(H55="",I31=""),"",
IF(H55="No","N/A",
IF(AND(H55="Yes",D69-F69&gt;0),"No","Yes"))))</f>
        <v/>
      </c>
      <c r="I56" s="241"/>
      <c r="J56" s="241"/>
      <c r="K56" s="241"/>
      <c r="L56" s="39"/>
      <c r="M56" s="40"/>
      <c r="N56" s="40"/>
      <c r="O56" s="40"/>
      <c r="P56" s="40"/>
      <c r="Q56" s="40"/>
      <c r="R56" s="40"/>
    </row>
    <row r="57" spans="1:40" x14ac:dyDescent="0.25">
      <c r="A57" s="9"/>
      <c r="B57" s="9"/>
      <c r="C57" s="9"/>
      <c r="D57" s="40"/>
      <c r="E57" s="40"/>
      <c r="F57" s="40"/>
      <c r="G57" s="40"/>
      <c r="H57" s="40"/>
      <c r="I57" s="347"/>
      <c r="J57" s="347"/>
      <c r="K57" s="347"/>
      <c r="L57" s="39" t="s">
        <v>41</v>
      </c>
      <c r="M57" s="40"/>
      <c r="N57" s="40"/>
      <c r="O57" s="40"/>
      <c r="P57" s="40"/>
      <c r="Q57" s="40"/>
      <c r="R57" s="40"/>
    </row>
    <row r="58" spans="1:40" s="353" customFormat="1" ht="20.100000000000001" customHeight="1" x14ac:dyDescent="0.25">
      <c r="A58" s="235" t="s">
        <v>211</v>
      </c>
      <c r="B58" s="236"/>
      <c r="C58" s="236"/>
      <c r="D58" s="237"/>
      <c r="E58" s="8"/>
      <c r="F58" s="8"/>
      <c r="G58" s="348"/>
      <c r="H58" s="348"/>
      <c r="I58" s="348"/>
      <c r="J58" s="348"/>
      <c r="K58" s="348"/>
      <c r="L58" s="349"/>
      <c r="M58" s="350"/>
      <c r="N58" s="351"/>
      <c r="O58" s="351"/>
      <c r="P58" s="351"/>
      <c r="Q58" s="351"/>
      <c r="R58" s="351"/>
      <c r="S58" s="352"/>
      <c r="T58" s="352"/>
      <c r="U58" s="352"/>
      <c r="V58" s="267" t="s">
        <v>217</v>
      </c>
      <c r="W58" s="267" t="s">
        <v>218</v>
      </c>
      <c r="X58" s="352"/>
      <c r="Y58" s="352"/>
      <c r="Z58" s="352"/>
      <c r="AA58" s="352"/>
      <c r="AB58" s="352"/>
      <c r="AC58" s="352"/>
      <c r="AD58" s="352"/>
      <c r="AE58" s="352"/>
      <c r="AF58" s="352"/>
      <c r="AG58" s="352"/>
      <c r="AH58" s="352"/>
      <c r="AI58" s="352"/>
      <c r="AJ58" s="352"/>
      <c r="AK58" s="352"/>
      <c r="AL58" s="352"/>
      <c r="AM58" s="352"/>
      <c r="AN58" s="352"/>
    </row>
    <row r="59" spans="1:40" ht="20.100000000000001" customHeight="1" x14ac:dyDescent="0.25">
      <c r="A59" s="247" t="s">
        <v>23</v>
      </c>
      <c r="B59" s="248">
        <f>IF(AND($E26&lt;&gt;"",$D26=""),$E26,IF(AND($E26="",$D26&lt;&gt;""),$D26,IF(AND($E26="",$F26&lt;&gt;""),$F26,0)))</f>
        <v>0</v>
      </c>
      <c r="C59" s="249" t="s">
        <v>42</v>
      </c>
      <c r="D59" s="250">
        <f>$I$26</f>
        <v>0</v>
      </c>
      <c r="E59" s="249" t="s">
        <v>43</v>
      </c>
      <c r="F59" s="250">
        <f>IF(AND(A$73&gt;=11,A$73&lt;=18),84,72)</f>
        <v>72</v>
      </c>
      <c r="G59" s="249" t="s">
        <v>44</v>
      </c>
      <c r="H59" s="248" t="str">
        <f>IF(AND(D26&lt;=0,OR(X26=1,V59=FALSE)),"N/A",
IF($I26&lt;F59,B59,
(B59/D59)*F59))</f>
        <v>N/A</v>
      </c>
      <c r="I59" s="564" t="s">
        <v>45</v>
      </c>
      <c r="J59" s="564"/>
      <c r="K59" s="251">
        <f>DATE(YEAR(G26),MONTH(G26)+F59,DAY(G26))</f>
        <v>2192</v>
      </c>
      <c r="L59" s="39"/>
      <c r="M59" s="40"/>
      <c r="N59" s="40"/>
      <c r="O59" s="40"/>
      <c r="P59" s="40"/>
      <c r="Q59" s="40"/>
      <c r="R59" s="40"/>
      <c r="V59" s="248" t="b">
        <f>AND(E26&gt;0,J26="Canadian",K26="No")</f>
        <v>0</v>
      </c>
      <c r="W59" s="268" t="str">
        <f>IF(X26&gt;0,"N/A",
IF(AND($E26&gt;0,K26="Yes"),"N/A (Dist. related to applicant)",
IF(AND($E26&gt;0,$X26=0,$J26="Canadian",$K26=""),"Missing Information",
IF(AND($E26&gt;0,$X26=0,$J26="",$K26&lt;&gt;"Yes"),"Missing Information",
IF(AND($E26&gt;0,$X26=0,$J26="Canadian",$K26="No"),"Total EDA (Can. Right)",
IF(D26&gt;0,"Total Licence",
IF(OR($J26="International",F26&gt;0),"N/A (intl. Right)","")))))))</f>
        <v/>
      </c>
    </row>
    <row r="60" spans="1:40" ht="27.6" x14ac:dyDescent="0.25">
      <c r="A60" s="252"/>
      <c r="B60" s="253" t="str">
        <f>W59</f>
        <v/>
      </c>
      <c r="C60" s="254"/>
      <c r="D60" s="255" t="s">
        <v>46</v>
      </c>
      <c r="E60" s="254"/>
      <c r="F60" s="256" t="s">
        <v>47</v>
      </c>
      <c r="G60" s="254"/>
      <c r="H60" s="253" t="s">
        <v>48</v>
      </c>
      <c r="I60" s="257"/>
      <c r="J60" s="257"/>
      <c r="K60" s="258"/>
      <c r="L60" s="39"/>
      <c r="M60" s="40"/>
      <c r="N60" s="354"/>
      <c r="O60" s="40"/>
      <c r="P60" s="40"/>
      <c r="Q60" s="40"/>
      <c r="R60" s="40"/>
      <c r="V60" s="253"/>
      <c r="W60" s="269"/>
    </row>
    <row r="61" spans="1:40" ht="20.100000000000001" customHeight="1" x14ac:dyDescent="0.25">
      <c r="A61" s="247" t="s">
        <v>24</v>
      </c>
      <c r="B61" s="248">
        <f>IF(AND($E27&lt;&gt;"",$D27=""),$E27,IF(AND($E27="",$D27&lt;&gt;""),$D27,IF(AND($E27="",$F27&lt;&gt;""),$F27,0)))</f>
        <v>0</v>
      </c>
      <c r="C61" s="249" t="s">
        <v>42</v>
      </c>
      <c r="D61" s="250">
        <f>$I$27</f>
        <v>0</v>
      </c>
      <c r="E61" s="249" t="s">
        <v>43</v>
      </c>
      <c r="F61" s="259">
        <f>IF((YEAR(K$59)-YEAR(X41))*12+MONTH(K$59)-MONTH(X41)&lt;0,0,(YEAR(K$59)-YEAR(X41))*12+MONTH(K$59)-MONTH(X41))</f>
        <v>71</v>
      </c>
      <c r="G61" s="249" t="s">
        <v>44</v>
      </c>
      <c r="H61" s="248" t="str">
        <f>IF(AND(D27&lt;=0,OR(X27=1,V61=FALSE)),"N/A",
IF($I27&lt;F61,B61,
(B61/D61)*F61))</f>
        <v>N/A</v>
      </c>
      <c r="I61" s="260"/>
      <c r="J61" s="260"/>
      <c r="K61" s="261"/>
      <c r="L61" s="39"/>
      <c r="M61" s="40"/>
      <c r="N61" s="40"/>
      <c r="O61" s="40"/>
      <c r="P61" s="40"/>
      <c r="Q61" s="40"/>
      <c r="R61" s="40"/>
      <c r="V61" s="248" t="b">
        <f>AND(E27&gt;0,J27="Canadian",K27="No")</f>
        <v>0</v>
      </c>
      <c r="W61" s="268" t="str">
        <f>IF(X27&gt;0,"N/A",
IF(AND($E27&gt;0,K27="Yes"),"N/A (Dist. related to applicant)",
IF(AND($E27&gt;0,$X27=0,$J27="Canadian",$K27=""),"Missing Information",
IF(AND($E27&gt;0,$X27=0,$J27="",$K27&lt;&gt;"Yes"),"Missing Information",
IF(AND($E27&gt;0,$X27=0,$J27="Canadian",$K27="No"),"Total EDA (Can. Right)",
IF(D27&gt;0,"Total Licence",
IF(OR($J27="International",F27&gt;0),"N/A (Intl. Right)","")))))))</f>
        <v/>
      </c>
    </row>
    <row r="62" spans="1:40" ht="27.6" x14ac:dyDescent="0.25">
      <c r="A62" s="262"/>
      <c r="B62" s="253" t="str">
        <f>W61</f>
        <v/>
      </c>
      <c r="C62" s="263"/>
      <c r="D62" s="255" t="s">
        <v>46</v>
      </c>
      <c r="E62" s="263"/>
      <c r="F62" s="256" t="s">
        <v>47</v>
      </c>
      <c r="G62" s="254"/>
      <c r="H62" s="253" t="s">
        <v>48</v>
      </c>
      <c r="I62" s="257"/>
      <c r="J62" s="257"/>
      <c r="K62" s="258"/>
      <c r="L62" s="39"/>
      <c r="M62" s="40"/>
      <c r="N62" s="40"/>
      <c r="O62" s="40"/>
      <c r="P62" s="40"/>
      <c r="Q62" s="40"/>
      <c r="R62" s="40"/>
      <c r="V62" s="253"/>
      <c r="W62" s="269"/>
    </row>
    <row r="63" spans="1:40" ht="20.100000000000001" customHeight="1" x14ac:dyDescent="0.25">
      <c r="A63" s="247" t="s">
        <v>25</v>
      </c>
      <c r="B63" s="248">
        <f>IF(AND($E28&lt;&gt;"",$D28=""),$E28,IF(AND($E28="",$D28&lt;&gt;""),$D28,IF(AND($E28="",$F28&lt;&gt;""),$F28,0)))</f>
        <v>0</v>
      </c>
      <c r="C63" s="249" t="s">
        <v>42</v>
      </c>
      <c r="D63" s="250">
        <f>$I$28</f>
        <v>0</v>
      </c>
      <c r="E63" s="249" t="s">
        <v>43</v>
      </c>
      <c r="F63" s="259">
        <f>IF((YEAR(K$59)-YEAR(X42))*12+MONTH(K$59)-MONTH(X42)&lt;0,0,(YEAR(K$59)-YEAR(X42))*12+MONTH(K$59)-MONTH(X42))</f>
        <v>71</v>
      </c>
      <c r="G63" s="249" t="s">
        <v>44</v>
      </c>
      <c r="H63" s="248" t="str">
        <f>IF(AND(D28&lt;=0,OR(X28=1,V63=FALSE)),"N/A",
IF($I28&lt;F63,B63,
(B63/D63)*F63))</f>
        <v>N/A</v>
      </c>
      <c r="I63" s="260"/>
      <c r="J63" s="260"/>
      <c r="K63" s="261"/>
      <c r="L63" s="39"/>
      <c r="M63" s="40"/>
      <c r="N63" s="40"/>
      <c r="O63" s="40"/>
      <c r="P63" s="40"/>
      <c r="Q63" s="40"/>
      <c r="R63" s="40"/>
      <c r="V63" s="248" t="b">
        <f>AND(E28&gt;0,J28="Canadian",K28="No")</f>
        <v>0</v>
      </c>
      <c r="W63" s="268" t="str">
        <f>IF(X28&gt;0,"N/A",
IF(AND($E28&gt;0,K28="Yes"),"N/A (Dist. related to applicant)",
IF(AND($E28&gt;0,$X28=0,$J28="Canadian",$K28=""),"Missing Information",
IF(AND($E28&gt;0,$X28=0,$J28="",$K28&lt;&gt;"Yes"),"Missing Information",
IF(AND($E28&gt;0,$X28=0,$J28="Canadian",$K28="No"),"Total EDA (Can. Right)",
IF(D28&gt;0,"Total Licence",
IF(OR($J28="International",F28&gt;0),"N/A (Intl. Right)","")))))))</f>
        <v/>
      </c>
    </row>
    <row r="64" spans="1:40" ht="27.6" x14ac:dyDescent="0.25">
      <c r="A64" s="264"/>
      <c r="B64" s="253" t="str">
        <f>W63</f>
        <v/>
      </c>
      <c r="C64" s="263"/>
      <c r="D64" s="255" t="s">
        <v>46</v>
      </c>
      <c r="E64" s="263"/>
      <c r="F64" s="256" t="s">
        <v>47</v>
      </c>
      <c r="G64" s="254"/>
      <c r="H64" s="253" t="s">
        <v>48</v>
      </c>
      <c r="I64" s="257"/>
      <c r="J64" s="257"/>
      <c r="K64" s="258"/>
      <c r="L64" s="39"/>
      <c r="M64" s="40"/>
      <c r="N64" s="40"/>
      <c r="O64" s="40"/>
      <c r="P64" s="40"/>
      <c r="Q64" s="40"/>
      <c r="R64" s="40"/>
      <c r="V64" s="253"/>
      <c r="W64" s="269"/>
    </row>
    <row r="65" spans="1:42" ht="20.100000000000001" customHeight="1" x14ac:dyDescent="0.25">
      <c r="A65" s="247" t="s">
        <v>26</v>
      </c>
      <c r="B65" s="248">
        <f>IF(AND($E29&lt;&gt;"",$D29=""),$E29,IF(AND($E29="",$D29&lt;&gt;""),$D29,IF(AND($E29="",$F29&lt;&gt;""),$F29,0)))</f>
        <v>0</v>
      </c>
      <c r="C65" s="249" t="s">
        <v>42</v>
      </c>
      <c r="D65" s="259">
        <f>$I$29</f>
        <v>0</v>
      </c>
      <c r="E65" s="249" t="s">
        <v>43</v>
      </c>
      <c r="F65" s="259">
        <f>IF((YEAR(K$59)-YEAR(X43))*12+MONTH(K$59)-MONTH(X43)&lt;0,0,(YEAR(K$59)-YEAR(X43))*12+MONTH(K$59)-MONTH(X43))</f>
        <v>71</v>
      </c>
      <c r="G65" s="249" t="s">
        <v>44</v>
      </c>
      <c r="H65" s="248" t="str">
        <f>IF(AND(D29&lt;=0,OR(X29=1,V65=FALSE)),"N/A",
IF($I29&lt;F65,B65,
(B65/D65)*F65))</f>
        <v>N/A</v>
      </c>
      <c r="I65" s="260"/>
      <c r="J65" s="260"/>
      <c r="K65" s="261"/>
      <c r="L65" s="39"/>
      <c r="M65" s="40"/>
      <c r="N65" s="40"/>
      <c r="O65" s="40"/>
      <c r="P65" s="40"/>
      <c r="Q65" s="40"/>
      <c r="R65" s="40"/>
      <c r="V65" s="248" t="b">
        <f>AND(E29&gt;0,J29="Canadian",K29="No")</f>
        <v>0</v>
      </c>
      <c r="W65" s="268" t="str">
        <f>IF(X29&gt;0,"N/A",
IF(AND($E29&gt;0,K29="Yes"),"N/A (Dist. related to applicant)",
IF(AND($E29&gt;0,$X29=0,$J29="Canadian",$K29=""),"Missing Information",
IF(AND($E29&gt;0,$X29=0,$J29="",$K29&lt;&gt;"Yes"),"Missing Information",
IF(AND($E29&gt;0,$X29=0,$J29="Canadian",$K29="No"),"Total EDA (Can. Right)",
IF(D29&gt;0,"Total Licence",
IF(OR($J29="International",F29&gt;0),"N/A (Intl. Right)","")))))))</f>
        <v/>
      </c>
    </row>
    <row r="66" spans="1:42" ht="27.6" x14ac:dyDescent="0.25">
      <c r="A66" s="252"/>
      <c r="B66" s="253" t="str">
        <f>$W65</f>
        <v/>
      </c>
      <c r="C66" s="263"/>
      <c r="D66" s="255" t="s">
        <v>46</v>
      </c>
      <c r="E66" s="263"/>
      <c r="F66" s="256" t="s">
        <v>47</v>
      </c>
      <c r="G66" s="254"/>
      <c r="H66" s="253" t="s">
        <v>48</v>
      </c>
      <c r="I66" s="257"/>
      <c r="J66" s="257"/>
      <c r="K66" s="258"/>
      <c r="L66" s="39"/>
      <c r="M66" s="40"/>
      <c r="N66" s="40"/>
      <c r="O66" s="40"/>
      <c r="P66" s="40"/>
      <c r="Q66" s="40"/>
      <c r="R66" s="40"/>
      <c r="V66" s="253"/>
      <c r="W66" s="232"/>
    </row>
    <row r="67" spans="1:42" ht="20.100000000000001" customHeight="1" x14ac:dyDescent="0.25">
      <c r="A67" s="247" t="s">
        <v>27</v>
      </c>
      <c r="B67" s="248">
        <f>IF(AND($E30&lt;&gt;"",$D30=""),$E30,IF(AND($E30="",$D30&lt;&gt;""),$D30,IF(AND($E30="",$F30&lt;&gt;""),$F30,0)))</f>
        <v>0</v>
      </c>
      <c r="C67" s="249" t="s">
        <v>42</v>
      </c>
      <c r="D67" s="259">
        <f>$I$30</f>
        <v>0</v>
      </c>
      <c r="E67" s="249" t="s">
        <v>43</v>
      </c>
      <c r="F67" s="259">
        <f>IF((YEAR(K$59)-YEAR(X44))*12+MONTH(K$59)-MONTH(X44)&lt;0,0,(YEAR(K$59)-YEAR(X44))*12+MONTH(K$59)-MONTH(X44))</f>
        <v>71</v>
      </c>
      <c r="G67" s="249" t="s">
        <v>44</v>
      </c>
      <c r="H67" s="248" t="str">
        <f>IF(AND(D30&lt;=0,OR(X30=1,V67=FALSE)),"N/A",
IF($I30&lt;F67,B67,
(B67/D67)*F67))</f>
        <v>N/A</v>
      </c>
      <c r="I67" s="260"/>
      <c r="J67" s="260"/>
      <c r="K67" s="261"/>
      <c r="L67" s="39"/>
      <c r="M67" s="40"/>
      <c r="N67" s="40"/>
      <c r="O67" s="40"/>
      <c r="P67" s="40"/>
      <c r="Q67" s="40"/>
      <c r="R67" s="40"/>
      <c r="V67" s="248" t="b">
        <f>AND(E30&gt;0,J30="Canadian",K30="No")</f>
        <v>0</v>
      </c>
      <c r="W67" s="268" t="str">
        <f>IF(X30&gt;0,"N/A",
IF(AND($E30&gt;0,K30="Yes"),"N/A (Dist. related to applicant)",
IF(AND($E30&gt;0,$X30=0,$J30="Canadian",$K30=""),"Missing Information",
IF(AND($E30&gt;0,$X30=0,$J30="",$K30&lt;&gt;"Yes"),"Missing Information",
IF(AND($E30&gt;0,$X30=0,$J30="Canadian",$K30="No"),"Total EDA (Can. Right)",
IF(D30&gt;0,"Total Licence",
IF(OR($J30="International",F30&gt;0),"N/A (Intl. Right)","")))))))</f>
        <v/>
      </c>
    </row>
    <row r="68" spans="1:42" ht="27.6" x14ac:dyDescent="0.25">
      <c r="A68" s="262"/>
      <c r="B68" s="253" t="str">
        <f>$W67</f>
        <v/>
      </c>
      <c r="C68" s="263"/>
      <c r="D68" s="255" t="s">
        <v>46</v>
      </c>
      <c r="E68" s="263"/>
      <c r="F68" s="256" t="s">
        <v>47</v>
      </c>
      <c r="G68" s="254"/>
      <c r="H68" s="253" t="s">
        <v>48</v>
      </c>
      <c r="I68" s="257"/>
      <c r="J68" s="257"/>
      <c r="K68" s="258"/>
      <c r="L68" s="39"/>
      <c r="M68" s="40"/>
      <c r="N68" s="40"/>
      <c r="O68" s="40"/>
      <c r="P68" s="40"/>
      <c r="Q68" s="40"/>
      <c r="R68" s="40"/>
      <c r="V68" s="253"/>
      <c r="W68" s="232"/>
    </row>
    <row r="69" spans="1:42" ht="20.100000000000001" customHeight="1" x14ac:dyDescent="0.25">
      <c r="A69" s="247" t="s">
        <v>28</v>
      </c>
      <c r="B69" s="248">
        <f>IF(AND($E31&lt;&gt;"",$D31=""),$E31,IF(AND($E31="",$D31&lt;&gt;""),$D31,IF(AND($E31="",$F31&lt;&gt;""),$F31,0)))</f>
        <v>0</v>
      </c>
      <c r="C69" s="249" t="s">
        <v>42</v>
      </c>
      <c r="D69" s="259">
        <f>$I$31</f>
        <v>0</v>
      </c>
      <c r="E69" s="249" t="s">
        <v>43</v>
      </c>
      <c r="F69" s="259">
        <f>IF((YEAR(K$59)-YEAR(X45))*12+MONTH(K$59)-MONTH(X45)&lt;0,0,(YEAR(K$59)-YEAR(X45))*12+MONTH(K$59)-MONTH(X45))</f>
        <v>71</v>
      </c>
      <c r="G69" s="249" t="s">
        <v>44</v>
      </c>
      <c r="H69" s="248" t="str">
        <f>IF(AND(D31&lt;=0,OR(X31=1,V69=FALSE)),"N/A",
IF($I31&lt;F69,B69,
(B69/D69)*F69))</f>
        <v>N/A</v>
      </c>
      <c r="I69" s="260"/>
      <c r="J69" s="260"/>
      <c r="K69" s="261"/>
      <c r="L69" s="39"/>
      <c r="M69" s="40"/>
      <c r="N69" s="40"/>
      <c r="O69" s="40"/>
      <c r="P69" s="40"/>
      <c r="Q69" s="40"/>
      <c r="R69" s="40"/>
      <c r="V69" s="248" t="b">
        <f>AND(E31&gt;0,J31="Canadian",K31="No")</f>
        <v>0</v>
      </c>
      <c r="W69" s="268" t="str">
        <f>IF(X31&gt;0,"N/A",
IF(AND($E31&gt;0,K31="Yes"),"N/A (Dist. related to applicant)",
IF(AND($E31&gt;0,$X31=0,$J31="Canadian",$K31=""),"Missing Information",
IF(AND($E31&gt;0,$X31=0,$J31="",$K31&lt;&gt;"Yes"),"Missing Information",
IF(AND($E31&gt;0,$X31=0,$J31="Canadian",$K31="No"),"Total EDA (Can. Right)",
IF(D31&gt;0,"Total Licence",
IF(OR($J31="International",F31&gt;0),"N/A (Intl. Right)","")))))))</f>
        <v/>
      </c>
    </row>
    <row r="70" spans="1:42" ht="27.6" x14ac:dyDescent="0.25">
      <c r="A70" s="265"/>
      <c r="B70" s="266" t="str">
        <f>$W69</f>
        <v/>
      </c>
      <c r="C70" s="260"/>
      <c r="D70" s="255" t="s">
        <v>46</v>
      </c>
      <c r="E70" s="260"/>
      <c r="F70" s="255" t="s">
        <v>47</v>
      </c>
      <c r="G70" s="255"/>
      <c r="H70" s="266" t="s">
        <v>48</v>
      </c>
      <c r="I70" s="260"/>
      <c r="J70" s="260"/>
      <c r="K70" s="261"/>
      <c r="L70" s="39"/>
      <c r="M70" s="40"/>
      <c r="N70" s="40"/>
      <c r="O70" s="40"/>
      <c r="P70" s="40"/>
      <c r="Q70" s="40"/>
      <c r="R70" s="40"/>
      <c r="V70" s="40"/>
      <c r="W70" s="40"/>
    </row>
    <row r="71" spans="1:42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40"/>
      <c r="N71" s="40"/>
      <c r="O71" s="40"/>
      <c r="P71" s="40"/>
      <c r="Q71" s="40"/>
      <c r="R71" s="40"/>
    </row>
    <row r="72" spans="1:42" s="353" customFormat="1" ht="25.95" customHeight="1" x14ac:dyDescent="0.25">
      <c r="A72" s="282" t="s">
        <v>226</v>
      </c>
      <c r="B72" s="283"/>
      <c r="C72" s="283"/>
      <c r="D72" s="40"/>
      <c r="E72" s="40"/>
      <c r="F72" s="40"/>
      <c r="G72" s="284" t="s">
        <v>227</v>
      </c>
      <c r="H72" s="40"/>
      <c r="I72" s="40"/>
      <c r="J72" s="40"/>
      <c r="K72" s="40"/>
      <c r="L72" s="40"/>
      <c r="M72" s="40"/>
      <c r="N72" s="40"/>
      <c r="O72" s="351"/>
      <c r="P72" s="351"/>
      <c r="Q72" s="351"/>
      <c r="R72" s="351"/>
      <c r="S72" s="352"/>
      <c r="T72" s="352"/>
      <c r="U72" s="352"/>
      <c r="V72" s="352"/>
      <c r="W72" s="352"/>
      <c r="X72" s="352"/>
      <c r="Y72" s="352"/>
      <c r="Z72" s="352"/>
      <c r="AA72" s="352"/>
      <c r="AB72" s="352"/>
      <c r="AC72" s="352"/>
      <c r="AD72" s="352"/>
      <c r="AE72" s="352"/>
      <c r="AF72" s="352"/>
      <c r="AG72" s="352"/>
      <c r="AH72" s="352"/>
      <c r="AI72" s="352"/>
      <c r="AJ72" s="352"/>
      <c r="AK72" s="352"/>
    </row>
    <row r="73" spans="1:42" s="358" customFormat="1" ht="45" customHeight="1" x14ac:dyDescent="0.3">
      <c r="A73" s="355">
        <v>22</v>
      </c>
      <c r="B73" s="59" t="s">
        <v>49</v>
      </c>
      <c r="C73" s="60" t="s">
        <v>50</v>
      </c>
      <c r="D73" s="60" t="s">
        <v>51</v>
      </c>
      <c r="E73" s="60" t="s">
        <v>52</v>
      </c>
      <c r="F73" s="60" t="s">
        <v>53</v>
      </c>
      <c r="G73" s="61" t="s">
        <v>54</v>
      </c>
      <c r="H73" s="285"/>
      <c r="I73" s="356">
        <v>1</v>
      </c>
      <c r="J73" s="194"/>
      <c r="K73" s="194"/>
      <c r="L73" s="40"/>
      <c r="M73" s="40"/>
      <c r="N73" s="40"/>
      <c r="O73" s="40"/>
      <c r="P73" s="40"/>
      <c r="Q73" s="40"/>
      <c r="R73" s="40"/>
      <c r="S73" s="280"/>
      <c r="T73" s="280"/>
      <c r="U73" s="357"/>
      <c r="V73" s="357"/>
      <c r="W73" s="357"/>
      <c r="X73" s="357"/>
      <c r="Y73" s="357"/>
      <c r="Z73" s="357"/>
      <c r="AA73" s="357"/>
      <c r="AB73" s="357"/>
      <c r="AC73" s="357"/>
      <c r="AD73" s="357"/>
      <c r="AE73" s="357"/>
      <c r="AF73" s="357"/>
      <c r="AG73" s="357"/>
      <c r="AH73" s="357"/>
      <c r="AI73" s="357"/>
      <c r="AJ73" s="357"/>
      <c r="AK73" s="357"/>
      <c r="AL73" s="357"/>
      <c r="AM73" s="357"/>
      <c r="AN73" s="357"/>
      <c r="AO73" s="357"/>
      <c r="AP73" s="357"/>
    </row>
    <row r="74" spans="1:42" s="312" customFormat="1" ht="20.100000000000001" customHeight="1" x14ac:dyDescent="0.25">
      <c r="A74" s="58">
        <f>IF(AND($E$9="Yes",$E$10="Yes"),25%,15%)</f>
        <v>0.15</v>
      </c>
      <c r="B74" s="565" t="s">
        <v>55</v>
      </c>
      <c r="C74" s="565"/>
      <c r="D74" s="62"/>
      <c r="E74" s="62"/>
      <c r="F74" s="62"/>
      <c r="G74" s="63"/>
      <c r="H74" s="286" t="s">
        <v>11</v>
      </c>
      <c r="I74" s="362" t="s">
        <v>281</v>
      </c>
      <c r="J74" s="195"/>
      <c r="K74" s="196"/>
      <c r="L74" s="360"/>
      <c r="M74" s="40"/>
      <c r="N74" s="40"/>
      <c r="O74" s="39"/>
      <c r="P74" s="360"/>
      <c r="Q74" s="39"/>
      <c r="R74" s="40"/>
      <c r="S74" s="280"/>
      <c r="T74" s="280"/>
      <c r="U74" s="280"/>
      <c r="V74" s="280"/>
      <c r="W74" s="280"/>
      <c r="X74" s="280"/>
      <c r="Y74" s="280"/>
      <c r="Z74" s="280"/>
      <c r="AA74" s="280"/>
      <c r="AB74" s="280"/>
      <c r="AC74" s="280"/>
      <c r="AD74" s="280"/>
      <c r="AE74" s="280"/>
      <c r="AF74" s="280"/>
      <c r="AG74" s="280"/>
      <c r="AH74" s="280"/>
      <c r="AI74" s="280"/>
      <c r="AJ74" s="280"/>
    </row>
    <row r="75" spans="1:42" ht="45" customHeight="1" x14ac:dyDescent="0.25">
      <c r="A75" s="361"/>
      <c r="B75" s="64" t="s">
        <v>56</v>
      </c>
      <c r="C75" s="64" t="s">
        <v>57</v>
      </c>
      <c r="D75" s="65" t="str">
        <f>IF(A$73=2,IF(E$5*J75&lt;ROUND(K$5*K75,0),ROUND(E$5*J75,0),ROUND(K$5*K75,0)),"N/A")</f>
        <v>N/A</v>
      </c>
      <c r="E75" s="66" t="str">
        <f>IF(D75="N/A","N/A",
IF(ROUND($G$46+$H$46,0)&gt;=ROUND(D75,0),"Yes",
IF(AND(ROUND($G$46+$H$46,0)&gt;=ROUND(75%*D75,0),$G$46+$H$46+MIN(F$32,ROUND(D75-$G$46+$H$46,0))&gt;=ROUND(D75,0)),"Yes","No")))</f>
        <v>N/A</v>
      </c>
      <c r="F75" s="65" t="str">
        <f>IF(E75="N/A","N/A",ROUND(J$46,0)-ROUND(D75,0))</f>
        <v>N/A</v>
      </c>
      <c r="G75" s="67" t="str">
        <f>IF(E75="N/A","N/A",IF(AND($A$73=2,F$32&gt;0,H$46+G$46&gt;=75%*D75),MAX(ROUND(D75-H$46-G$46,0),0),0))</f>
        <v>N/A</v>
      </c>
      <c r="H75" s="286" t="s">
        <v>60</v>
      </c>
      <c r="I75" s="362" t="s">
        <v>244</v>
      </c>
      <c r="J75" s="197">
        <v>0.2</v>
      </c>
      <c r="K75" s="196">
        <v>130000</v>
      </c>
      <c r="L75" s="363"/>
      <c r="M75" s="39"/>
      <c r="N75" s="40"/>
      <c r="O75" s="40"/>
      <c r="P75" s="40"/>
      <c r="Q75" s="317"/>
      <c r="R75" s="40"/>
      <c r="AP75" s="280"/>
    </row>
    <row r="76" spans="1:42" ht="45" customHeight="1" x14ac:dyDescent="0.25">
      <c r="A76" s="364" t="s">
        <v>11</v>
      </c>
      <c r="B76" s="64" t="s">
        <v>58</v>
      </c>
      <c r="C76" s="64" t="s">
        <v>59</v>
      </c>
      <c r="D76" s="65" t="str">
        <f>IF(A$73=3,ROUND(K5*K76,0),"N/A")</f>
        <v>N/A</v>
      </c>
      <c r="E76" s="66" t="str">
        <f>IF(D76="N/A","N/A",
IF(ROUND($G$46+$H$46,0)&gt;=ROUND(D76,0),"Yes",
IF(AND(ROUND($G$46+$H$46,0)&gt;=ROUND(75%*D76,0),$G$46+$H$46+MIN(F$32,ROUND(D76-$G$46+$H$46,0))&gt;=ROUND(D76,0)),"Yes","No")))</f>
        <v>N/A</v>
      </c>
      <c r="F76" s="65" t="str">
        <f>IF(E76="N/A","N/A",ROUND(J$46,0)-ROUND(D76,0))</f>
        <v>N/A</v>
      </c>
      <c r="G76" s="67" t="str">
        <f>IF(E76="N/A","N/A",IF(AND($A$73=3,F$32&gt;0,H$46+G$46&gt;=75%*D76),MAX(ROUND(D76-H$46-G$46,0),0),0))</f>
        <v>N/A</v>
      </c>
      <c r="H76" s="286"/>
      <c r="I76" s="362"/>
      <c r="J76" s="195"/>
      <c r="K76" s="196">
        <v>130000</v>
      </c>
      <c r="L76" s="39"/>
      <c r="M76" s="39"/>
      <c r="N76" s="40"/>
      <c r="O76" s="40"/>
      <c r="P76" s="40"/>
      <c r="Q76" s="40"/>
      <c r="R76" s="40"/>
      <c r="AP76" s="280"/>
    </row>
    <row r="77" spans="1:42" ht="36.9" customHeight="1" x14ac:dyDescent="0.25">
      <c r="A77" s="364" t="s">
        <v>60</v>
      </c>
      <c r="B77" s="64" t="s">
        <v>61</v>
      </c>
      <c r="C77" s="68" t="s">
        <v>62</v>
      </c>
      <c r="D77" s="65" t="str">
        <f>IF(A$73=4,ROUND(E5*J77,0),"N/A")</f>
        <v>N/A</v>
      </c>
      <c r="E77" s="66" t="str">
        <f>IF(D77="N/A","N/A",
IF(ROUND($G$46+$H$46,0)&gt;=ROUND(D77,0),"Yes",
IF(AND(ROUND($G$46+$H$46,0)&gt;=ROUND(75%*D77,0),$G$46+$H$46+MIN(F$32,ROUND(D77-$G$46+$H$46,0))&gt;=ROUND(D77,0)),"Yes","No")))</f>
        <v>N/A</v>
      </c>
      <c r="F77" s="65" t="str">
        <f>IF(E77="N/A","N/A",ROUND(J$46,0)-ROUND(D77,0))</f>
        <v>N/A</v>
      </c>
      <c r="G77" s="67" t="str">
        <f>IF(E77="N/A","N/A",IF(AND($A$73=4,F$32&gt;0,H$46+G$46&gt;=75%*D77),MAX(ROUND(D77-H$46-G$46,0),0),0))</f>
        <v>N/A</v>
      </c>
      <c r="H77" s="286"/>
      <c r="I77" s="362"/>
      <c r="J77" s="197">
        <v>0.1</v>
      </c>
      <c r="K77" s="196"/>
      <c r="L77" s="39"/>
      <c r="M77" s="39"/>
      <c r="N77" s="40"/>
      <c r="O77" s="40"/>
      <c r="P77" s="40"/>
      <c r="Q77" s="40"/>
      <c r="R77" s="40"/>
      <c r="AP77" s="280"/>
    </row>
    <row r="78" spans="1:42" ht="36.9" customHeight="1" x14ac:dyDescent="0.25">
      <c r="A78" s="361"/>
      <c r="B78" s="64" t="s">
        <v>63</v>
      </c>
      <c r="C78" s="64" t="s">
        <v>64</v>
      </c>
      <c r="D78" s="65" t="str">
        <f>IF(A$73=5,IF(E$5*J78&gt;=K78,K78,ROUND((E$5*J78),0)),"N/A")</f>
        <v>N/A</v>
      </c>
      <c r="E78" s="66" t="str">
        <f>IF(D78="N/A","N/A",
IF(ROUND($G$46+$H$46,0)&gt;=ROUND(D78,0),"Yes",
IF(AND(ROUND($G$46+$H$46,0)&gt;=ROUND(75%*D78,0),$G$46+$H$46+MIN(F$32,ROUND(D78-$G$46+$H$46,0))&gt;=ROUND(D78,0)),"Yes","No")))</f>
        <v>N/A</v>
      </c>
      <c r="F78" s="65" t="str">
        <f>IF(E78="N/A","N/A",ROUND(J$46,0)-ROUND(D78,0))</f>
        <v>N/A</v>
      </c>
      <c r="G78" s="67" t="str">
        <f>IF(E78="N/A","N/A",IF(AND($A$73=5,F$32&gt;0,H$46+G$46&gt;=75%*D78),MAX(ROUND(D78-H$46-G$46,0),0),0))</f>
        <v>N/A</v>
      </c>
      <c r="H78" s="286"/>
      <c r="I78" s="362"/>
      <c r="J78" s="197">
        <v>0.05</v>
      </c>
      <c r="K78" s="196">
        <v>190000</v>
      </c>
      <c r="L78" s="39"/>
      <c r="M78" s="39"/>
      <c r="N78" s="40"/>
      <c r="O78" s="40"/>
      <c r="P78" s="40"/>
      <c r="Q78" s="40"/>
      <c r="R78" s="40"/>
      <c r="AP78" s="280"/>
    </row>
    <row r="79" spans="1:42" ht="20.100000000000001" customHeight="1" x14ac:dyDescent="0.25">
      <c r="A79" s="361"/>
      <c r="B79" s="69" t="s">
        <v>65</v>
      </c>
      <c r="C79" s="70"/>
      <c r="D79" s="71"/>
      <c r="E79" s="71"/>
      <c r="F79" s="72"/>
      <c r="G79" s="73"/>
      <c r="H79" s="287"/>
      <c r="I79" s="362"/>
      <c r="J79" s="195"/>
      <c r="K79" s="196"/>
      <c r="L79" s="39"/>
      <c r="M79" s="39"/>
      <c r="N79" s="40"/>
      <c r="O79" s="40"/>
      <c r="P79" s="40"/>
      <c r="Q79" s="40"/>
      <c r="R79" s="40"/>
      <c r="AP79" s="280"/>
    </row>
    <row r="80" spans="1:42" s="312" customFormat="1" ht="45" customHeight="1" x14ac:dyDescent="0.25">
      <c r="A80" s="361"/>
      <c r="B80" s="64" t="s">
        <v>66</v>
      </c>
      <c r="C80" s="64" t="s">
        <v>67</v>
      </c>
      <c r="D80" s="65" t="str">
        <f>IF(A$73=7,IF($E$5*J80&lt;$K$5*K80,ROUND($E$5*J80,0),ROUND($K$5*K80,0)),"N/A")</f>
        <v>N/A</v>
      </c>
      <c r="E80" s="66" t="str">
        <f>IF(D80="N/A","N/A",
IF(ROUND($G$46+$H$46,0)&gt;=ROUND(D80,0),"Yes",
IF(AND(ROUND($G$46+$H$46,0)&gt;=ROUND(75%*D80,0),$G$46+$H$46+MIN(F$32,ROUND(D80-$G$46+$H$46,0))&gt;=ROUND(D80,0)),"Yes","No")))</f>
        <v>N/A</v>
      </c>
      <c r="F80" s="65" t="str">
        <f>IF(E80="N/A","N/A",ROUND(J$46,0)-ROUND(D80,0))</f>
        <v>N/A</v>
      </c>
      <c r="G80" s="67" t="str">
        <f>IF(E80="N/A","N/A",IF(AND($A$73=7,F$32&gt;0,H$46+G$46&gt;=75%*D80),MAX(ROUND(D80-H$46-G$46,0),0),0))</f>
        <v>N/A</v>
      </c>
      <c r="H80" s="287"/>
      <c r="I80" s="362"/>
      <c r="J80" s="197">
        <v>0.3</v>
      </c>
      <c r="K80" s="196">
        <v>100000</v>
      </c>
      <c r="L80" s="39"/>
      <c r="M80" s="39"/>
      <c r="N80" s="40"/>
      <c r="O80" s="40"/>
      <c r="P80" s="40"/>
      <c r="Q80" s="40"/>
      <c r="R80" s="40"/>
      <c r="S80" s="280"/>
      <c r="T80" s="280"/>
      <c r="U80" s="280"/>
      <c r="V80" s="280"/>
      <c r="W80" s="280"/>
      <c r="X80" s="280"/>
      <c r="Y80" s="280"/>
      <c r="Z80" s="280"/>
      <c r="AA80" s="280"/>
      <c r="AB80" s="280"/>
      <c r="AC80" s="280"/>
      <c r="AD80" s="280"/>
      <c r="AE80" s="280"/>
      <c r="AF80" s="280"/>
      <c r="AG80" s="280"/>
      <c r="AH80" s="280"/>
      <c r="AI80" s="280"/>
      <c r="AJ80" s="280"/>
      <c r="AK80" s="280"/>
      <c r="AL80" s="280"/>
      <c r="AM80" s="280"/>
      <c r="AN80" s="280"/>
      <c r="AO80" s="280"/>
      <c r="AP80" s="280"/>
    </row>
    <row r="81" spans="1:42" s="312" customFormat="1" ht="36.9" customHeight="1" x14ac:dyDescent="0.25">
      <c r="A81" s="361"/>
      <c r="B81" s="64" t="s">
        <v>68</v>
      </c>
      <c r="C81" s="64" t="s">
        <v>69</v>
      </c>
      <c r="D81" s="65" t="str">
        <f>IF(A$73=8,IF(($E$5*J81)&lt;ROUND(($K$5*K81),0),ROUND(($E$5*J81),0),ROUND(($K$5*K81),0)),"N/A")</f>
        <v>N/A</v>
      </c>
      <c r="E81" s="66" t="str">
        <f>IF(D81="N/A","N/A",
IF(ROUND($G$46+$H$46,0)&gt;=ROUND(D81,0),"Yes",
IF(AND(ROUND($G$46+$H$46,0)&gt;=ROUND(75%*D81,0),$G$46+$H$46+MIN(F$32,ROUND(D81-$G$46+$H$46,0))&gt;=ROUND(D81,0)),"Yes","No")))</f>
        <v>N/A</v>
      </c>
      <c r="F81" s="65" t="str">
        <f>IF(E81="N/A","N/A",ROUND(J$46,0)-ROUND(D81,0))</f>
        <v>N/A</v>
      </c>
      <c r="G81" s="67" t="str">
        <f>IF(E81="N/A","N/A",IF(AND($A$73=8,F$32&gt;0,H$46+G$46&gt;=75%*D81),MAX(ROUND(D81-H$46-G$46,0),0),0))</f>
        <v>N/A</v>
      </c>
      <c r="H81" s="288"/>
      <c r="I81" s="362"/>
      <c r="J81" s="197">
        <v>0.4</v>
      </c>
      <c r="K81" s="196">
        <v>100000</v>
      </c>
      <c r="L81" s="39"/>
      <c r="M81" s="39"/>
      <c r="N81" s="40"/>
      <c r="O81" s="40"/>
      <c r="P81" s="40"/>
      <c r="Q81" s="40"/>
      <c r="R81" s="40"/>
      <c r="S81" s="280"/>
      <c r="T81" s="280"/>
      <c r="U81" s="280"/>
      <c r="V81" s="280"/>
      <c r="W81" s="280"/>
      <c r="X81" s="280"/>
      <c r="Y81" s="280"/>
      <c r="Z81" s="280"/>
      <c r="AA81" s="280"/>
      <c r="AB81" s="280"/>
      <c r="AC81" s="280"/>
      <c r="AD81" s="280"/>
      <c r="AE81" s="280"/>
      <c r="AF81" s="280"/>
      <c r="AG81" s="280"/>
      <c r="AH81" s="280"/>
      <c r="AI81" s="280"/>
      <c r="AJ81" s="280"/>
      <c r="AK81" s="280"/>
      <c r="AL81" s="280"/>
      <c r="AM81" s="280"/>
      <c r="AN81" s="280"/>
      <c r="AO81" s="280"/>
      <c r="AP81" s="280"/>
    </row>
    <row r="82" spans="1:42" s="312" customFormat="1" ht="50.4" customHeight="1" x14ac:dyDescent="0.25">
      <c r="A82" s="361"/>
      <c r="B82" s="64" t="s">
        <v>70</v>
      </c>
      <c r="C82" s="64" t="s">
        <v>71</v>
      </c>
      <c r="D82" s="65" t="str">
        <f>IF(A$73=9,ROUND(($K$5*K82),0),"N/A")</f>
        <v>N/A</v>
      </c>
      <c r="E82" s="66" t="str">
        <f>IF(D82="N/A","N/A",
IF(ROUND($G$46+$H$46,0)&gt;=ROUND(D82,0),"Yes",
IF(AND(ROUND($G$46+$H$46,0)&gt;=ROUND(75%*D82,0),$G$46+$H$46+MIN(F$32,ROUND(D82-$G$46+$H$46,0))&gt;=ROUND(D82,0)),"Yes","No")))</f>
        <v>N/A</v>
      </c>
      <c r="F82" s="65" t="str">
        <f>IF(E82="N/A","N/A",ROUND(J$46,0)-ROUND(D82,0))</f>
        <v>N/A</v>
      </c>
      <c r="G82" s="67" t="str">
        <f>IF(E82="N/A","N/A",IF(AND($A$73=9,F$32&gt;0,H$46+G$46&gt;=75%*D82),MAX(ROUND(D82-H$46-G$46,0),0),0))</f>
        <v>N/A</v>
      </c>
      <c r="H82" s="288"/>
      <c r="I82" s="362"/>
      <c r="J82" s="195"/>
      <c r="K82" s="196">
        <v>100000</v>
      </c>
      <c r="L82" s="39"/>
      <c r="M82" s="39"/>
      <c r="N82" s="40"/>
      <c r="O82" s="40"/>
      <c r="P82" s="40"/>
      <c r="Q82" s="40"/>
      <c r="R82" s="40"/>
      <c r="S82" s="280"/>
      <c r="T82" s="280"/>
      <c r="U82" s="280"/>
      <c r="V82" s="280"/>
      <c r="W82" s="280"/>
      <c r="X82" s="280"/>
      <c r="Y82" s="280"/>
      <c r="Z82" s="280"/>
      <c r="AA82" s="280"/>
      <c r="AB82" s="280"/>
      <c r="AC82" s="280"/>
      <c r="AD82" s="280"/>
      <c r="AE82" s="280"/>
      <c r="AF82" s="280"/>
      <c r="AG82" s="280"/>
      <c r="AH82" s="280"/>
      <c r="AI82" s="280"/>
      <c r="AJ82" s="280"/>
      <c r="AK82" s="280"/>
      <c r="AL82" s="280"/>
      <c r="AM82" s="280"/>
      <c r="AN82" s="280"/>
      <c r="AO82" s="280"/>
      <c r="AP82" s="280"/>
    </row>
    <row r="83" spans="1:42" s="312" customFormat="1" ht="36.9" customHeight="1" x14ac:dyDescent="0.25">
      <c r="A83" s="361"/>
      <c r="B83" s="64" t="s">
        <v>72</v>
      </c>
      <c r="C83" s="64" t="s">
        <v>73</v>
      </c>
      <c r="D83" s="65" t="str">
        <f>IF(A$73=10,MIN(ROUND(($E$5*J83),0),K83),"N/A")</f>
        <v>N/A</v>
      </c>
      <c r="E83" s="66" t="str">
        <f>IF(D83="N/A","N/A",
IF(ROUND($G$46+$H$46,0)&gt;=ROUND(D83,0),"Yes",
IF(AND(ROUND($G$46+$H$46,0)&gt;=ROUND(75%*D83,0),$G$46+$H$46+MIN(F$32,ROUND(D83-$G$46+$H$46,0))&gt;=ROUND(D83,0)),"Yes","No")))</f>
        <v>N/A</v>
      </c>
      <c r="F83" s="65" t="str">
        <f>IF(E83="N/A","N/A",ROUND(J$46,0)-ROUND(D83,0))</f>
        <v>N/A</v>
      </c>
      <c r="G83" s="67" t="str">
        <f>IF(E83="N/A","N/A",IF(AND($A$73=10,F$32&gt;0,H$46+G$46&gt;=75%*D83),MAX(ROUND(D83-H$46-G$46,0),0),0))</f>
        <v>N/A</v>
      </c>
      <c r="H83" s="288"/>
      <c r="I83" s="362"/>
      <c r="J83" s="197">
        <v>0.1</v>
      </c>
      <c r="K83" s="196">
        <v>60000</v>
      </c>
      <c r="L83" s="39"/>
      <c r="M83" s="39"/>
      <c r="N83" s="39"/>
      <c r="O83" s="39"/>
      <c r="P83" s="39"/>
      <c r="Q83" s="39"/>
      <c r="R83" s="40"/>
      <c r="S83" s="280"/>
      <c r="T83" s="280"/>
      <c r="U83" s="280"/>
      <c r="V83" s="280"/>
      <c r="W83" s="280"/>
      <c r="X83" s="280"/>
      <c r="Y83" s="280"/>
      <c r="Z83" s="280"/>
      <c r="AA83" s="280"/>
      <c r="AB83" s="280"/>
      <c r="AC83" s="280"/>
      <c r="AD83" s="280"/>
      <c r="AE83" s="280"/>
      <c r="AF83" s="280"/>
      <c r="AG83" s="280"/>
      <c r="AH83" s="280"/>
      <c r="AI83" s="280"/>
      <c r="AJ83" s="280"/>
    </row>
    <row r="84" spans="1:42" s="312" customFormat="1" ht="20.100000000000001" customHeight="1" x14ac:dyDescent="0.25">
      <c r="A84" s="361"/>
      <c r="B84" s="75" t="s">
        <v>74</v>
      </c>
      <c r="C84" s="76"/>
      <c r="D84" s="72"/>
      <c r="E84" s="72"/>
      <c r="F84" s="72"/>
      <c r="G84" s="74"/>
      <c r="H84" s="288"/>
      <c r="I84" s="362"/>
      <c r="J84" s="195"/>
      <c r="K84" s="196"/>
      <c r="L84" s="39"/>
      <c r="M84" s="39"/>
      <c r="N84" s="39"/>
      <c r="O84" s="39"/>
      <c r="P84" s="39"/>
      <c r="Q84" s="39"/>
      <c r="R84" s="40"/>
      <c r="S84" s="280"/>
      <c r="T84" s="280"/>
      <c r="U84" s="280"/>
      <c r="V84" s="280"/>
      <c r="W84" s="280"/>
      <c r="X84" s="280"/>
      <c r="Y84" s="280"/>
      <c r="Z84" s="280"/>
      <c r="AA84" s="280"/>
      <c r="AB84" s="280"/>
      <c r="AC84" s="280"/>
      <c r="AD84" s="280"/>
      <c r="AE84" s="280"/>
      <c r="AF84" s="280"/>
      <c r="AG84" s="280"/>
      <c r="AH84" s="280"/>
      <c r="AI84" s="280"/>
      <c r="AJ84" s="280"/>
    </row>
    <row r="85" spans="1:42" s="312" customFormat="1" ht="36.9" customHeight="1" x14ac:dyDescent="0.25">
      <c r="A85" s="361"/>
      <c r="B85" s="64" t="s">
        <v>75</v>
      </c>
      <c r="C85" s="64" t="s">
        <v>76</v>
      </c>
      <c r="D85" s="65" t="str">
        <f>IF(A$73=12,IF(E$5*J85&lt;K$5*K85,ROUND(E$5*J85,0),ROUND(K$5*K85,0)),"N/A")</f>
        <v>N/A</v>
      </c>
      <c r="E85" s="66" t="str">
        <f>IF(D85="N/A","N/A",
IF(ROUND($G$46+$H$46,0)&gt;=ROUND(D85,0),"Yes","No"))</f>
        <v>N/A</v>
      </c>
      <c r="F85" s="65" t="str">
        <f t="shared" ref="F85:F91" si="10">IF(E85="N/A","N/A",ROUND(J$46,0)-ROUND(D85,0))</f>
        <v>N/A</v>
      </c>
      <c r="G85" s="74"/>
      <c r="H85" s="288"/>
      <c r="I85" s="362"/>
      <c r="J85" s="197">
        <v>0.45</v>
      </c>
      <c r="K85" s="196">
        <v>315000</v>
      </c>
      <c r="L85" s="39"/>
      <c r="M85" s="39"/>
      <c r="N85" s="39"/>
      <c r="O85" s="39"/>
      <c r="P85" s="39"/>
      <c r="Q85" s="39"/>
      <c r="R85" s="40"/>
      <c r="S85" s="280"/>
      <c r="T85" s="280"/>
      <c r="U85" s="280"/>
      <c r="V85" s="280"/>
      <c r="W85" s="280"/>
      <c r="X85" s="280"/>
      <c r="Y85" s="280"/>
      <c r="Z85" s="280"/>
      <c r="AA85" s="280"/>
      <c r="AB85" s="280"/>
      <c r="AC85" s="280"/>
      <c r="AD85" s="280"/>
      <c r="AE85" s="280"/>
      <c r="AF85" s="280"/>
      <c r="AG85" s="280"/>
      <c r="AH85" s="280"/>
      <c r="AI85" s="280"/>
      <c r="AJ85" s="280"/>
    </row>
    <row r="86" spans="1:42" s="312" customFormat="1" ht="47.4" customHeight="1" x14ac:dyDescent="0.25">
      <c r="A86" s="361"/>
      <c r="B86" s="64" t="s">
        <v>77</v>
      </c>
      <c r="C86" s="64" t="s">
        <v>78</v>
      </c>
      <c r="D86" s="65" t="str">
        <f>IF(A$73=13,ROUND(K$5*K86,0),"N/A")</f>
        <v>N/A</v>
      </c>
      <c r="E86" s="66" t="str">
        <f t="shared" ref="E86:E94" si="11">IF(D86="N/A","N/A",
IF(ROUND($G$46+$H$46,0)&gt;=ROUND(D86,0),"Yes","No"))</f>
        <v>N/A</v>
      </c>
      <c r="F86" s="65" t="str">
        <f t="shared" si="10"/>
        <v>N/A</v>
      </c>
      <c r="G86" s="74"/>
      <c r="H86" s="288"/>
      <c r="I86" s="365"/>
      <c r="J86" s="195"/>
      <c r="K86" s="196">
        <v>315000</v>
      </c>
      <c r="L86" s="39"/>
      <c r="M86" s="39"/>
      <c r="N86" s="39"/>
      <c r="O86" s="39"/>
      <c r="P86" s="39"/>
      <c r="Q86" s="39"/>
      <c r="R86" s="39"/>
      <c r="S86" s="280"/>
      <c r="T86" s="280"/>
      <c r="U86" s="280"/>
      <c r="V86" s="280"/>
      <c r="W86" s="280"/>
      <c r="X86" s="280"/>
      <c r="Y86" s="280"/>
      <c r="Z86" s="280"/>
      <c r="AA86" s="280"/>
      <c r="AB86" s="280"/>
      <c r="AC86" s="280"/>
      <c r="AD86" s="280"/>
      <c r="AE86" s="280"/>
      <c r="AF86" s="280"/>
      <c r="AG86" s="280"/>
      <c r="AH86" s="280"/>
      <c r="AI86" s="280"/>
      <c r="AJ86" s="280"/>
      <c r="AK86" s="280"/>
    </row>
    <row r="87" spans="1:42" s="312" customFormat="1" ht="59.4" customHeight="1" x14ac:dyDescent="0.25">
      <c r="A87" s="361"/>
      <c r="B87" s="64" t="s">
        <v>79</v>
      </c>
      <c r="C87" s="64" t="s">
        <v>80</v>
      </c>
      <c r="D87" s="65" t="str">
        <f>IF(A$73=14,ROUND(K5*K87,0),"N/A")</f>
        <v>N/A</v>
      </c>
      <c r="E87" s="66" t="str">
        <f t="shared" si="11"/>
        <v>N/A</v>
      </c>
      <c r="F87" s="65" t="str">
        <f t="shared" si="10"/>
        <v>N/A</v>
      </c>
      <c r="G87" s="74"/>
      <c r="H87" s="288"/>
      <c r="I87" s="362"/>
      <c r="J87" s="195"/>
      <c r="K87" s="196">
        <v>235000</v>
      </c>
      <c r="L87" s="39"/>
      <c r="M87" s="39"/>
      <c r="N87" s="39"/>
      <c r="O87" s="39"/>
      <c r="P87" s="39"/>
      <c r="Q87" s="39"/>
      <c r="R87" s="40"/>
      <c r="S87" s="280"/>
      <c r="T87" s="280"/>
      <c r="U87" s="280"/>
      <c r="V87" s="280"/>
      <c r="W87" s="280"/>
      <c r="X87" s="280"/>
      <c r="Y87" s="280"/>
      <c r="Z87" s="280"/>
      <c r="AA87" s="280"/>
      <c r="AB87" s="280"/>
      <c r="AC87" s="280"/>
      <c r="AD87" s="280"/>
      <c r="AE87" s="280"/>
      <c r="AF87" s="280"/>
      <c r="AG87" s="280"/>
      <c r="AH87" s="280"/>
      <c r="AI87" s="280"/>
      <c r="AJ87" s="280"/>
    </row>
    <row r="88" spans="1:42" s="312" customFormat="1" ht="36.9" customHeight="1" x14ac:dyDescent="0.25">
      <c r="A88" s="361"/>
      <c r="B88" s="64" t="s">
        <v>81</v>
      </c>
      <c r="C88" s="64" t="s">
        <v>82</v>
      </c>
      <c r="D88" s="65" t="str">
        <f>IF(A$73=15,ROUND(E$5*J88,0),"N/A")</f>
        <v>N/A</v>
      </c>
      <c r="E88" s="66" t="str">
        <f t="shared" si="11"/>
        <v>N/A</v>
      </c>
      <c r="F88" s="65" t="str">
        <f t="shared" si="10"/>
        <v>N/A</v>
      </c>
      <c r="G88" s="74"/>
      <c r="H88" s="288"/>
      <c r="I88" s="362"/>
      <c r="J88" s="198">
        <v>0.125</v>
      </c>
      <c r="K88" s="196"/>
      <c r="L88" s="39"/>
      <c r="M88" s="39"/>
      <c r="N88" s="39"/>
      <c r="O88" s="39"/>
      <c r="P88" s="39"/>
      <c r="Q88" s="39"/>
      <c r="R88" s="40"/>
      <c r="S88" s="280"/>
      <c r="T88" s="280"/>
      <c r="U88" s="280"/>
      <c r="V88" s="280"/>
      <c r="W88" s="280"/>
      <c r="X88" s="280"/>
      <c r="Y88" s="280"/>
      <c r="Z88" s="280"/>
      <c r="AA88" s="280"/>
      <c r="AB88" s="280"/>
      <c r="AC88" s="280"/>
      <c r="AD88" s="280"/>
      <c r="AE88" s="280"/>
      <c r="AF88" s="280"/>
      <c r="AG88" s="280"/>
      <c r="AH88" s="280"/>
      <c r="AI88" s="280"/>
      <c r="AJ88" s="280"/>
    </row>
    <row r="89" spans="1:42" s="312" customFormat="1" ht="36.9" customHeight="1" x14ac:dyDescent="0.25">
      <c r="A89" s="361"/>
      <c r="B89" s="64" t="s">
        <v>83</v>
      </c>
      <c r="C89" s="64" t="s">
        <v>84</v>
      </c>
      <c r="D89" s="65" t="str">
        <f>IF(A$73=16,IF(E$5*J89&lt;K89,ROUND(E$5*J89,0),K89),"N/A")</f>
        <v>N/A</v>
      </c>
      <c r="E89" s="66" t="str">
        <f t="shared" si="11"/>
        <v>N/A</v>
      </c>
      <c r="F89" s="65" t="str">
        <f t="shared" si="10"/>
        <v>N/A</v>
      </c>
      <c r="G89" s="74"/>
      <c r="H89" s="288"/>
      <c r="I89" s="362"/>
      <c r="J89" s="197">
        <v>0.05</v>
      </c>
      <c r="K89" s="196">
        <v>230000</v>
      </c>
      <c r="L89" s="39"/>
      <c r="M89" s="39"/>
      <c r="N89" s="39"/>
      <c r="O89" s="39"/>
      <c r="P89" s="39"/>
      <c r="Q89" s="39"/>
      <c r="R89" s="40"/>
      <c r="S89" s="280"/>
      <c r="T89" s="280"/>
      <c r="U89" s="280"/>
      <c r="V89" s="280"/>
      <c r="W89" s="280"/>
      <c r="X89" s="280"/>
      <c r="Y89" s="280"/>
      <c r="Z89" s="280"/>
      <c r="AA89" s="280"/>
      <c r="AB89" s="280"/>
      <c r="AC89" s="280"/>
      <c r="AD89" s="280"/>
      <c r="AE89" s="280"/>
      <c r="AF89" s="280"/>
      <c r="AG89" s="280"/>
      <c r="AH89" s="280"/>
      <c r="AI89" s="280"/>
      <c r="AJ89" s="280"/>
    </row>
    <row r="90" spans="1:42" s="312" customFormat="1" ht="36.9" customHeight="1" x14ac:dyDescent="0.25">
      <c r="A90" s="361"/>
      <c r="B90" s="64" t="s">
        <v>85</v>
      </c>
      <c r="C90" s="64" t="s">
        <v>86</v>
      </c>
      <c r="D90" s="65" t="str">
        <f>IF(A$73=17,ROUND(K5*K90*2,0),"N/A")</f>
        <v>N/A</v>
      </c>
      <c r="E90" s="66" t="str">
        <f t="shared" si="11"/>
        <v>N/A</v>
      </c>
      <c r="F90" s="65" t="str">
        <f t="shared" si="10"/>
        <v>N/A</v>
      </c>
      <c r="G90" s="74"/>
      <c r="H90" s="288"/>
      <c r="I90" s="362"/>
      <c r="J90" s="195"/>
      <c r="K90" s="196">
        <v>205000</v>
      </c>
      <c r="L90" s="39"/>
      <c r="M90" s="39"/>
      <c r="N90" s="39"/>
      <c r="O90" s="39"/>
      <c r="P90" s="39"/>
      <c r="Q90" s="39"/>
      <c r="R90" s="40"/>
      <c r="S90" s="280"/>
      <c r="T90" s="280"/>
      <c r="U90" s="280"/>
      <c r="V90" s="280"/>
      <c r="W90" s="280"/>
      <c r="X90" s="280"/>
      <c r="Y90" s="280"/>
      <c r="Z90" s="280"/>
      <c r="AA90" s="280"/>
      <c r="AB90" s="280"/>
      <c r="AC90" s="280"/>
      <c r="AD90" s="280"/>
      <c r="AE90" s="280"/>
      <c r="AF90" s="280"/>
      <c r="AG90" s="280"/>
      <c r="AH90" s="280"/>
      <c r="AI90" s="280"/>
      <c r="AJ90" s="280"/>
    </row>
    <row r="91" spans="1:42" s="312" customFormat="1" ht="36.9" customHeight="1" x14ac:dyDescent="0.25">
      <c r="A91" s="361"/>
      <c r="B91" s="64" t="s">
        <v>87</v>
      </c>
      <c r="C91" s="64" t="s">
        <v>88</v>
      </c>
      <c r="D91" s="65" t="str">
        <f>IF(A$73=18,ROUND(K5*K91,0),"N/A")</f>
        <v>N/A</v>
      </c>
      <c r="E91" s="66" t="str">
        <f t="shared" si="11"/>
        <v>N/A</v>
      </c>
      <c r="F91" s="65" t="str">
        <f t="shared" si="10"/>
        <v>N/A</v>
      </c>
      <c r="G91" s="74"/>
      <c r="H91" s="288"/>
      <c r="I91" s="362"/>
      <c r="J91" s="195"/>
      <c r="K91" s="196">
        <v>525000</v>
      </c>
      <c r="L91" s="39"/>
      <c r="M91" s="39"/>
      <c r="N91" s="40"/>
      <c r="O91" s="40"/>
      <c r="P91" s="40"/>
      <c r="Q91" s="40"/>
      <c r="R91" s="40"/>
      <c r="S91" s="280"/>
      <c r="T91" s="280"/>
      <c r="U91" s="280"/>
      <c r="V91" s="280"/>
      <c r="W91" s="280"/>
      <c r="X91" s="280"/>
      <c r="Y91" s="280"/>
      <c r="Z91" s="280"/>
      <c r="AA91" s="280"/>
      <c r="AB91" s="280"/>
      <c r="AC91" s="280"/>
      <c r="AD91" s="280"/>
      <c r="AE91" s="280"/>
      <c r="AF91" s="280"/>
      <c r="AG91" s="280"/>
      <c r="AH91" s="280"/>
      <c r="AI91" s="280"/>
      <c r="AJ91" s="280"/>
      <c r="AK91" s="280"/>
      <c r="AL91" s="280"/>
      <c r="AM91" s="280"/>
      <c r="AN91" s="280"/>
      <c r="AO91" s="280"/>
      <c r="AP91" s="280"/>
    </row>
    <row r="92" spans="1:42" s="312" customFormat="1" ht="20.100000000000001" customHeight="1" x14ac:dyDescent="0.25">
      <c r="A92" s="361"/>
      <c r="B92" s="75" t="s">
        <v>89</v>
      </c>
      <c r="C92" s="77"/>
      <c r="D92" s="78"/>
      <c r="E92" s="78"/>
      <c r="F92" s="72"/>
      <c r="G92" s="74"/>
      <c r="H92" s="288"/>
      <c r="I92" s="362"/>
      <c r="J92" s="195"/>
      <c r="K92" s="196"/>
      <c r="L92" s="366"/>
      <c r="M92" s="39"/>
      <c r="N92" s="40"/>
      <c r="O92" s="40"/>
      <c r="P92" s="40"/>
      <c r="Q92" s="40"/>
      <c r="R92" s="40"/>
      <c r="S92" s="280"/>
      <c r="T92" s="280"/>
      <c r="U92" s="280"/>
      <c r="V92" s="280"/>
      <c r="W92" s="280"/>
      <c r="X92" s="280"/>
      <c r="Y92" s="280"/>
      <c r="Z92" s="280"/>
      <c r="AA92" s="280"/>
      <c r="AB92" s="280"/>
      <c r="AC92" s="280"/>
      <c r="AD92" s="280"/>
      <c r="AE92" s="280"/>
      <c r="AF92" s="280"/>
      <c r="AG92" s="280"/>
      <c r="AH92" s="280"/>
      <c r="AI92" s="280"/>
      <c r="AJ92" s="280"/>
      <c r="AK92" s="280"/>
      <c r="AL92" s="280"/>
      <c r="AM92" s="280"/>
      <c r="AN92" s="280"/>
      <c r="AO92" s="280"/>
      <c r="AP92" s="280"/>
    </row>
    <row r="93" spans="1:42" s="312" customFormat="1" ht="36.9" customHeight="1" x14ac:dyDescent="0.25">
      <c r="A93" s="361"/>
      <c r="B93" s="64" t="s">
        <v>90</v>
      </c>
      <c r="C93" s="64" t="s">
        <v>91</v>
      </c>
      <c r="D93" s="65" t="str">
        <f>IF(A73=20,IF($E$5*J93&lt;$K$5*K93,ROUND($E$5*J93,0),ROUND($K$5*K93,0)),"N/A")</f>
        <v>N/A</v>
      </c>
      <c r="E93" s="66" t="str">
        <f t="shared" si="11"/>
        <v>N/A</v>
      </c>
      <c r="F93" s="65" t="str">
        <f>IF(E93="N/A","N/A",ROUND(J$46,0)-ROUND(D93,0))</f>
        <v>N/A</v>
      </c>
      <c r="G93" s="74"/>
      <c r="H93" s="288"/>
      <c r="I93" s="362"/>
      <c r="J93" s="197">
        <v>0.4</v>
      </c>
      <c r="K93" s="196">
        <v>240000</v>
      </c>
      <c r="L93" s="367"/>
      <c r="M93" s="39"/>
      <c r="N93" s="39"/>
      <c r="O93" s="40"/>
      <c r="P93" s="40"/>
      <c r="Q93" s="40"/>
      <c r="R93" s="40"/>
      <c r="S93" s="280"/>
      <c r="T93" s="280"/>
      <c r="U93" s="280"/>
      <c r="V93" s="280"/>
      <c r="W93" s="280"/>
      <c r="X93" s="280"/>
      <c r="Y93" s="280"/>
      <c r="Z93" s="280"/>
      <c r="AA93" s="280"/>
      <c r="AB93" s="280"/>
      <c r="AC93" s="280"/>
      <c r="AD93" s="280"/>
      <c r="AE93" s="280"/>
      <c r="AF93" s="280"/>
      <c r="AG93" s="280"/>
      <c r="AH93" s="280"/>
      <c r="AI93" s="280"/>
      <c r="AJ93" s="280"/>
      <c r="AK93" s="280"/>
      <c r="AL93" s="280"/>
      <c r="AM93" s="280"/>
      <c r="AN93" s="280"/>
      <c r="AO93" s="280"/>
      <c r="AP93" s="280"/>
    </row>
    <row r="94" spans="1:42" s="312" customFormat="1" ht="36.9" customHeight="1" x14ac:dyDescent="0.25">
      <c r="A94" s="361"/>
      <c r="B94" s="64" t="s">
        <v>92</v>
      </c>
      <c r="C94" s="64" t="s">
        <v>93</v>
      </c>
      <c r="D94" s="65" t="str">
        <f>IF(A73=21,ROUND($K$5*K94,0),"N/A")</f>
        <v>N/A</v>
      </c>
      <c r="E94" s="66" t="str">
        <f t="shared" si="11"/>
        <v>N/A</v>
      </c>
      <c r="F94" s="65" t="str">
        <f>IF(E94="N/A","N/A",ROUND(J$46,0)-ROUND(D94,0))</f>
        <v>N/A</v>
      </c>
      <c r="G94" s="289"/>
      <c r="H94" s="288"/>
      <c r="I94" s="359"/>
      <c r="J94" s="195"/>
      <c r="K94" s="196">
        <v>240000</v>
      </c>
      <c r="L94" s="39"/>
      <c r="M94" s="40"/>
      <c r="N94" s="40"/>
      <c r="O94" s="39"/>
      <c r="P94" s="40"/>
      <c r="Q94" s="40"/>
      <c r="R94" s="40"/>
      <c r="S94" s="280"/>
      <c r="T94" s="280"/>
      <c r="U94" s="280"/>
      <c r="V94" s="280"/>
      <c r="W94" s="280"/>
      <c r="X94" s="280"/>
      <c r="Y94" s="280"/>
      <c r="Z94" s="280"/>
      <c r="AA94" s="280"/>
      <c r="AB94" s="280"/>
      <c r="AC94" s="280"/>
      <c r="AD94" s="280"/>
      <c r="AE94" s="280"/>
      <c r="AF94" s="280"/>
      <c r="AG94" s="280"/>
      <c r="AH94" s="280"/>
      <c r="AI94" s="280"/>
      <c r="AJ94" s="280"/>
      <c r="AK94" s="280"/>
      <c r="AL94" s="280"/>
      <c r="AM94" s="280"/>
      <c r="AN94" s="280"/>
      <c r="AO94" s="280"/>
    </row>
    <row r="95" spans="1:42" s="101" customFormat="1" ht="17.100000000000001" customHeight="1" x14ac:dyDescent="0.25">
      <c r="A95" s="39"/>
      <c r="B95" s="57"/>
      <c r="C95" s="57"/>
      <c r="D95" s="25"/>
      <c r="E95" s="26"/>
      <c r="F95" s="25"/>
      <c r="G95" s="44"/>
      <c r="H95" s="44"/>
      <c r="I95" s="39"/>
      <c r="J95" s="39"/>
      <c r="K95" s="39"/>
      <c r="L95" s="39"/>
      <c r="M95" s="39"/>
      <c r="N95" s="40"/>
      <c r="O95" s="39"/>
      <c r="P95" s="39"/>
      <c r="Q95" s="39"/>
      <c r="R95" s="39"/>
      <c r="S95" s="99"/>
      <c r="T95" s="99"/>
      <c r="U95" s="99"/>
      <c r="V95" s="99"/>
      <c r="W95" s="99"/>
      <c r="X95" s="99"/>
      <c r="Y95" s="99"/>
      <c r="Z95" s="99"/>
      <c r="AA95" s="99"/>
      <c r="AB95" s="99"/>
      <c r="AC95" s="99"/>
      <c r="AD95" s="99"/>
      <c r="AE95" s="99"/>
      <c r="AF95" s="99"/>
      <c r="AG95" s="99"/>
      <c r="AH95" s="99"/>
      <c r="AI95" s="99"/>
      <c r="AJ95" s="99"/>
      <c r="AK95" s="99"/>
      <c r="AL95" s="99"/>
      <c r="AM95" s="99"/>
      <c r="AN95" s="99"/>
      <c r="AO95" s="99"/>
      <c r="AP95" s="99"/>
    </row>
    <row r="96" spans="1:42" s="352" customFormat="1" ht="20.100000000000001" customHeight="1" x14ac:dyDescent="0.25">
      <c r="A96" s="368" t="s">
        <v>94</v>
      </c>
      <c r="B96" s="369"/>
      <c r="C96" s="370"/>
      <c r="D96" s="6"/>
      <c r="E96" s="7"/>
      <c r="F96" s="6"/>
      <c r="G96" s="349"/>
      <c r="H96" s="349"/>
      <c r="I96" s="349"/>
      <c r="J96" s="349"/>
      <c r="K96" s="349"/>
      <c r="L96" s="349"/>
      <c r="M96" s="351"/>
      <c r="N96" s="351"/>
      <c r="O96" s="349"/>
      <c r="P96" s="351"/>
      <c r="Q96" s="351"/>
      <c r="R96" s="351"/>
    </row>
    <row r="97" spans="1:41" s="246" customFormat="1" ht="30" customHeight="1" x14ac:dyDescent="0.25">
      <c r="A97" s="566" t="s">
        <v>95</v>
      </c>
      <c r="B97" s="567"/>
      <c r="C97" s="568" t="s">
        <v>96</v>
      </c>
      <c r="D97" s="568"/>
      <c r="E97" s="569"/>
      <c r="F97" s="570" t="s">
        <v>228</v>
      </c>
      <c r="G97" s="570"/>
      <c r="H97" s="570"/>
      <c r="I97" s="571" t="s">
        <v>97</v>
      </c>
      <c r="J97" s="572"/>
      <c r="K97" s="573"/>
      <c r="L97" s="245"/>
      <c r="M97" s="245"/>
      <c r="N97" s="40"/>
      <c r="O97" s="245"/>
      <c r="P97" s="245"/>
    </row>
    <row r="98" spans="1:41" s="358" customFormat="1" ht="51.75" customHeight="1" x14ac:dyDescent="0.3">
      <c r="A98" s="559" t="s">
        <v>49</v>
      </c>
      <c r="B98" s="559"/>
      <c r="C98" s="372" t="s">
        <v>98</v>
      </c>
      <c r="D98" s="372" t="s">
        <v>99</v>
      </c>
      <c r="E98" s="373" t="s">
        <v>100</v>
      </c>
      <c r="F98" s="374" t="s">
        <v>101</v>
      </c>
      <c r="G98" s="375" t="s">
        <v>99</v>
      </c>
      <c r="H98" s="375" t="s">
        <v>100</v>
      </c>
      <c r="I98" s="173" t="s">
        <v>102</v>
      </c>
      <c r="J98" s="376" t="s">
        <v>99</v>
      </c>
      <c r="K98" s="376" t="s">
        <v>100</v>
      </c>
      <c r="L98" s="377"/>
      <c r="M98" s="378"/>
      <c r="N98" s="377"/>
      <c r="O98" s="377"/>
      <c r="P98" s="377"/>
      <c r="Q98" s="377"/>
      <c r="R98" s="377"/>
      <c r="S98" s="357"/>
      <c r="T98" s="357"/>
      <c r="U98" s="357"/>
      <c r="V98" s="357"/>
      <c r="W98" s="357"/>
      <c r="X98" s="357"/>
      <c r="Y98" s="357"/>
      <c r="Z98" s="357"/>
      <c r="AA98" s="357"/>
      <c r="AB98" s="357"/>
      <c r="AC98" s="357"/>
      <c r="AD98" s="357"/>
      <c r="AE98" s="357"/>
      <c r="AF98" s="357"/>
      <c r="AG98" s="357"/>
      <c r="AH98" s="357"/>
      <c r="AI98" s="357"/>
      <c r="AJ98" s="357"/>
      <c r="AK98" s="357"/>
      <c r="AL98" s="357"/>
      <c r="AM98" s="357"/>
    </row>
    <row r="99" spans="1:41" ht="29.25" hidden="1" customHeight="1" x14ac:dyDescent="0.25">
      <c r="A99" s="379" t="s">
        <v>103</v>
      </c>
      <c r="B99" s="380" t="s">
        <v>104</v>
      </c>
      <c r="C99" s="79" t="str">
        <f>IF($X$10&lt;&gt;"Yes",(ROUND(F$8*$E$5,0)),"N/A")</f>
        <v>N/A</v>
      </c>
      <c r="D99" s="80" t="str">
        <f>IF($X$10="Yes","N/A",IF($C$32&gt;$C$99,"No","Yes"))</f>
        <v>N/A</v>
      </c>
      <c r="E99" s="79" t="str">
        <f>IF($D$99="No",$C$32-$C$99,"N/A")</f>
        <v>N/A</v>
      </c>
      <c r="F99" s="79" t="str">
        <f>IF($X$10&lt;&gt;"Yes",ROUND($F$8*$E$5,0),"N/A")</f>
        <v>N/A</v>
      </c>
      <c r="G99" s="80" t="str">
        <f>IF($X$10="No",IF($C$32&gt;$F$99,"No","Yes"),"N/A")</f>
        <v>N/A</v>
      </c>
      <c r="H99" s="79" t="str">
        <f>IF($G$99="No",$C$32-$F$99,"N/A")</f>
        <v>N/A</v>
      </c>
      <c r="I99" s="381"/>
      <c r="J99" s="382"/>
      <c r="K99" s="383"/>
      <c r="L99" s="40"/>
      <c r="M99" s="297"/>
      <c r="N99" s="40"/>
      <c r="O99" s="40"/>
      <c r="P99" s="40"/>
      <c r="Q99" s="40"/>
      <c r="R99" s="40"/>
      <c r="AN99" s="298"/>
      <c r="AO99" s="298"/>
    </row>
    <row r="100" spans="1:41" ht="93.15" customHeight="1" x14ac:dyDescent="0.25">
      <c r="A100" s="244" t="s">
        <v>97</v>
      </c>
      <c r="B100" s="102" t="str">
        <f>IF(OR($E$9&lt;&gt;"Yes",$E$10&lt;&gt;"Yes"), "Lesser of 15% of Eligible Costs OR Feature films (Live-action, Drama): 
$600,000 
All other Projects: $900,000|All combined programs 84% ", "Lesser of 25% of Eligible Costs OR Feature films (Live-action, Drama): 
$600,000 
 All other Projects: $900,000|All combined programs 84% ")</f>
        <v xml:space="preserve">Lesser of 15% of Eligible Costs OR Feature films (Live-action, Drama): 
$600,000 
All other Projects: $900,000|All combined programs 84% </v>
      </c>
      <c r="C100" s="79" t="str">
        <f>IF(AND($I$73=1,$X$10="Yes",$E$5&gt;0),MIN(N($F$100)+N($I$100),ROUND(0.84*$E$5,0)),"N/A")</f>
        <v>N/A</v>
      </c>
      <c r="D100" s="80" t="str">
        <f>IF($C$100="N/A","N/A",
IF(OR($G$100="no",$J$100="no",$C$100&lt;$E$14+$C$32),"No","Yes"))</f>
        <v>N/A</v>
      </c>
      <c r="E100" s="79" t="str">
        <f>IF($D$100="No",MAX($E$14+$C$32-N($C$100),N($H$100)+N($K$100)),"N/A")</f>
        <v>N/A</v>
      </c>
      <c r="F100" s="79" t="str">
        <f>IF(AND($I$73=1,$X$10="Yes",$E$5&gt;0),IF($C$32&gt;0,ROUND($F$8*$E$5,0),"N/A"),"N/A")</f>
        <v>N/A</v>
      </c>
      <c r="G100" s="80" t="str">
        <f>IF($F$100="N/A","N/A",IF($C$32&gt;$F$100,"No","Yes"))</f>
        <v>N/A</v>
      </c>
      <c r="H100" s="79" t="str">
        <f>IF($G$100="No",$C$32-$F$100,"N/A")</f>
        <v>N/A</v>
      </c>
      <c r="I100" s="79" t="str">
        <f>IF(AND($I$73=1,$X$10="Yes",$E$5&gt;0),IF($A$73&lt;&gt;16,MIN(ROUND($A$74*$E$5,0),900000),MIN(ROUND($A$74*$E$5,0),600000)),"N/A")</f>
        <v>N/A</v>
      </c>
      <c r="J100" s="80" t="str">
        <f>IF($I$100="N/A","N/A",IF($E$14&gt;$I$100,"No","Yes"))</f>
        <v>N/A</v>
      </c>
      <c r="K100" s="79" t="str">
        <f>IF($J$100="No",$C$33-$I$100,"N/A")</f>
        <v>N/A</v>
      </c>
      <c r="L100" s="40"/>
      <c r="M100" s="297"/>
      <c r="N100" s="40"/>
      <c r="O100" s="40"/>
      <c r="P100" s="40"/>
      <c r="Q100" s="40"/>
      <c r="R100" s="40"/>
      <c r="AN100" s="298"/>
      <c r="AO100" s="298"/>
    </row>
    <row r="101" spans="1:41" x14ac:dyDescent="0.25">
      <c r="A101" s="39"/>
      <c r="B101" s="334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40"/>
      <c r="R101" s="40"/>
    </row>
    <row r="102" spans="1:41" x14ac:dyDescent="0.25">
      <c r="A102" s="39"/>
      <c r="B102" s="334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40"/>
      <c r="N102" s="40"/>
      <c r="O102" s="40"/>
      <c r="P102" s="40"/>
      <c r="Q102" s="40"/>
      <c r="R102" s="40"/>
    </row>
    <row r="103" spans="1:41" ht="149.25" customHeight="1" x14ac:dyDescent="0.25">
      <c r="A103" s="40"/>
      <c r="B103" s="40"/>
      <c r="C103" s="40"/>
      <c r="D103" s="39"/>
      <c r="E103" s="39"/>
      <c r="F103" s="39"/>
      <c r="G103" s="39"/>
      <c r="H103" s="39"/>
      <c r="I103" s="39"/>
      <c r="J103" s="39"/>
      <c r="K103" s="39"/>
      <c r="L103" s="39"/>
      <c r="M103" s="40"/>
      <c r="N103" s="40"/>
      <c r="O103" s="40"/>
      <c r="P103" s="40"/>
      <c r="Q103" s="40"/>
      <c r="R103" s="40"/>
    </row>
    <row r="104" spans="1:41" x14ac:dyDescent="0.25">
      <c r="A104" s="40"/>
      <c r="B104" s="40"/>
      <c r="C104" s="40"/>
      <c r="D104" s="39"/>
      <c r="E104" s="39"/>
      <c r="F104" s="39"/>
      <c r="G104" s="39"/>
      <c r="H104" s="39"/>
      <c r="I104" s="39"/>
      <c r="J104" s="39"/>
      <c r="K104" s="39"/>
      <c r="L104" s="39"/>
      <c r="M104" s="40"/>
      <c r="N104" s="40"/>
      <c r="O104" s="40"/>
      <c r="P104" s="40"/>
      <c r="Q104" s="40"/>
      <c r="R104" s="40"/>
    </row>
    <row r="105" spans="1:41" x14ac:dyDescent="0.25">
      <c r="A105" s="40"/>
      <c r="B105" s="40"/>
      <c r="C105" s="40"/>
      <c r="D105" s="39"/>
      <c r="E105" s="39"/>
      <c r="F105" s="39"/>
      <c r="G105" s="39"/>
      <c r="H105" s="39"/>
      <c r="I105" s="39"/>
      <c r="J105" s="39"/>
      <c r="K105" s="39"/>
      <c r="L105" s="39"/>
      <c r="M105" s="40"/>
      <c r="N105" s="40"/>
      <c r="O105" s="40"/>
      <c r="P105" s="40"/>
      <c r="Q105" s="40"/>
      <c r="R105" s="40"/>
    </row>
    <row r="106" spans="1:41" x14ac:dyDescent="0.25">
      <c r="A106" s="40"/>
      <c r="B106" s="40"/>
      <c r="C106" s="40"/>
      <c r="D106" s="39"/>
      <c r="E106" s="39"/>
      <c r="F106" s="39"/>
      <c r="G106" s="39"/>
      <c r="H106" s="39"/>
      <c r="I106" s="39"/>
      <c r="J106" s="39"/>
      <c r="K106" s="39"/>
      <c r="L106" s="39"/>
      <c r="M106" s="40"/>
      <c r="N106" s="40"/>
      <c r="O106" s="40"/>
      <c r="P106" s="40"/>
      <c r="Q106" s="40"/>
      <c r="R106" s="40"/>
    </row>
    <row r="107" spans="1:41" x14ac:dyDescent="0.25">
      <c r="A107" s="39"/>
      <c r="B107" s="334" t="s">
        <v>105</v>
      </c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40"/>
      <c r="N107" s="40"/>
      <c r="O107" s="40"/>
      <c r="P107" s="40"/>
      <c r="Q107" s="40"/>
      <c r="R107" s="40"/>
    </row>
    <row r="108" spans="1:41" x14ac:dyDescent="0.25">
      <c r="A108" s="39"/>
      <c r="B108" s="334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40"/>
      <c r="N108" s="40"/>
      <c r="O108" s="40"/>
      <c r="P108" s="40"/>
      <c r="Q108" s="40"/>
      <c r="R108" s="40"/>
    </row>
    <row r="109" spans="1:41" x14ac:dyDescent="0.25">
      <c r="A109" s="39"/>
      <c r="B109" s="334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40"/>
      <c r="N109" s="40"/>
      <c r="O109" s="40"/>
      <c r="P109" s="40"/>
      <c r="Q109" s="40"/>
      <c r="R109" s="40"/>
    </row>
    <row r="110" spans="1:41" x14ac:dyDescent="0.25">
      <c r="A110" s="39"/>
      <c r="B110" s="334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40"/>
      <c r="N110" s="40"/>
      <c r="O110" s="40"/>
      <c r="P110" s="40"/>
      <c r="Q110" s="40"/>
      <c r="R110" s="40"/>
    </row>
    <row r="111" spans="1:41" x14ac:dyDescent="0.25">
      <c r="A111" s="39"/>
      <c r="B111" s="334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40"/>
      <c r="N111" s="40"/>
      <c r="O111" s="40"/>
      <c r="P111" s="40"/>
      <c r="Q111" s="40"/>
      <c r="R111" s="40"/>
    </row>
    <row r="112" spans="1:41" x14ac:dyDescent="0.25">
      <c r="A112" s="39"/>
      <c r="B112" s="334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40"/>
      <c r="N112" s="40"/>
      <c r="O112" s="40"/>
      <c r="P112" s="40"/>
      <c r="Q112" s="40"/>
      <c r="R112" s="40"/>
    </row>
    <row r="113" spans="1:18" x14ac:dyDescent="0.25">
      <c r="A113" s="39"/>
      <c r="B113" s="334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40"/>
      <c r="N113" s="40"/>
      <c r="O113" s="40"/>
      <c r="P113" s="40"/>
      <c r="Q113" s="40"/>
      <c r="R113" s="40"/>
    </row>
    <row r="114" spans="1:18" x14ac:dyDescent="0.25">
      <c r="A114" s="39"/>
      <c r="B114" s="334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40"/>
      <c r="N114" s="40"/>
      <c r="O114" s="40"/>
      <c r="P114" s="40"/>
      <c r="Q114" s="40"/>
      <c r="R114" s="40"/>
    </row>
    <row r="115" spans="1:18" x14ac:dyDescent="0.25">
      <c r="A115" s="39"/>
      <c r="B115" s="334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40"/>
      <c r="N115" s="40"/>
      <c r="O115" s="40"/>
      <c r="P115" s="40"/>
      <c r="Q115" s="40"/>
      <c r="R115" s="40"/>
    </row>
    <row r="116" spans="1:18" x14ac:dyDescent="0.25">
      <c r="A116" s="99"/>
      <c r="B116" s="315"/>
      <c r="C116" s="99"/>
      <c r="D116" s="99"/>
      <c r="E116" s="99"/>
      <c r="F116" s="99"/>
      <c r="G116" s="99"/>
      <c r="H116" s="99"/>
      <c r="I116" s="99"/>
      <c r="J116" s="99"/>
      <c r="K116" s="99"/>
      <c r="L116" s="99"/>
    </row>
    <row r="117" spans="1:18" x14ac:dyDescent="0.25">
      <c r="A117" s="99"/>
      <c r="B117" s="315"/>
      <c r="C117" s="99"/>
      <c r="D117" s="99"/>
      <c r="E117" s="99"/>
      <c r="F117" s="99"/>
      <c r="G117" s="99"/>
      <c r="H117" s="99"/>
      <c r="I117" s="99"/>
      <c r="J117" s="99"/>
      <c r="K117" s="99"/>
      <c r="L117" s="99"/>
    </row>
    <row r="118" spans="1:18" x14ac:dyDescent="0.25">
      <c r="A118" s="99"/>
      <c r="B118" s="315"/>
      <c r="C118" s="99"/>
      <c r="D118" s="99"/>
      <c r="E118" s="99"/>
      <c r="F118" s="99"/>
      <c r="G118" s="99"/>
      <c r="H118" s="99"/>
      <c r="I118" s="99"/>
      <c r="J118" s="99"/>
      <c r="K118" s="99"/>
      <c r="L118" s="99"/>
    </row>
    <row r="119" spans="1:18" x14ac:dyDescent="0.25">
      <c r="A119" s="99"/>
      <c r="B119" s="315"/>
      <c r="C119" s="99"/>
      <c r="D119" s="99"/>
      <c r="E119" s="99"/>
      <c r="F119" s="99"/>
      <c r="G119" s="99"/>
      <c r="H119" s="99"/>
      <c r="I119" s="99"/>
      <c r="J119" s="99"/>
      <c r="K119" s="99"/>
      <c r="L119" s="99"/>
    </row>
    <row r="120" spans="1:18" x14ac:dyDescent="0.25">
      <c r="A120" s="99"/>
      <c r="B120" s="315"/>
      <c r="C120" s="99"/>
      <c r="D120" s="99"/>
      <c r="E120" s="99"/>
      <c r="F120" s="99"/>
      <c r="G120" s="99"/>
      <c r="H120" s="99"/>
      <c r="I120" s="99"/>
      <c r="J120" s="99"/>
      <c r="K120" s="99"/>
      <c r="L120" s="99"/>
    </row>
    <row r="121" spans="1:18" x14ac:dyDescent="0.25">
      <c r="A121" s="99"/>
      <c r="B121" s="315"/>
      <c r="C121" s="99"/>
      <c r="D121" s="99"/>
      <c r="E121" s="99"/>
      <c r="F121" s="99"/>
      <c r="G121" s="99"/>
      <c r="H121" s="99"/>
      <c r="I121" s="99"/>
      <c r="J121" s="99"/>
      <c r="K121" s="99"/>
      <c r="L121" s="99"/>
    </row>
    <row r="122" spans="1:18" x14ac:dyDescent="0.25">
      <c r="A122" s="99"/>
      <c r="B122" s="315"/>
      <c r="C122" s="99"/>
      <c r="D122" s="99"/>
      <c r="E122" s="99"/>
      <c r="F122" s="99"/>
      <c r="G122" s="99"/>
      <c r="H122" s="99"/>
      <c r="I122" s="99"/>
      <c r="J122" s="99"/>
      <c r="K122" s="99"/>
      <c r="L122" s="99"/>
    </row>
    <row r="123" spans="1:18" x14ac:dyDescent="0.25">
      <c r="A123" s="99"/>
      <c r="B123" s="315"/>
      <c r="C123" s="99"/>
      <c r="D123" s="99"/>
      <c r="E123" s="99"/>
      <c r="F123" s="99"/>
      <c r="G123" s="99"/>
      <c r="H123" s="99"/>
      <c r="I123" s="99"/>
      <c r="J123" s="99"/>
      <c r="K123" s="99"/>
      <c r="L123" s="99"/>
    </row>
    <row r="124" spans="1:18" x14ac:dyDescent="0.25">
      <c r="A124" s="99"/>
      <c r="B124" s="315"/>
      <c r="C124" s="99"/>
      <c r="D124" s="99"/>
      <c r="E124" s="99"/>
      <c r="F124" s="99"/>
      <c r="G124" s="99"/>
      <c r="H124" s="99"/>
      <c r="I124" s="99"/>
      <c r="J124" s="99"/>
      <c r="K124" s="99"/>
      <c r="L124" s="99"/>
    </row>
    <row r="125" spans="1:18" x14ac:dyDescent="0.25">
      <c r="A125" s="99"/>
      <c r="B125" s="315"/>
      <c r="C125" s="99"/>
      <c r="D125" s="99"/>
      <c r="E125" s="99"/>
      <c r="F125" s="99"/>
      <c r="G125" s="99"/>
      <c r="H125" s="99"/>
      <c r="I125" s="99"/>
      <c r="J125" s="99"/>
      <c r="K125" s="99"/>
      <c r="L125" s="99"/>
    </row>
    <row r="126" spans="1:18" x14ac:dyDescent="0.25">
      <c r="A126" s="99"/>
      <c r="B126" s="315"/>
      <c r="C126" s="99"/>
      <c r="D126" s="99"/>
      <c r="E126" s="99"/>
      <c r="F126" s="99"/>
      <c r="G126" s="99"/>
      <c r="H126" s="99"/>
      <c r="I126" s="99"/>
      <c r="J126" s="99"/>
      <c r="K126" s="99"/>
      <c r="L126" s="99"/>
    </row>
    <row r="127" spans="1:18" x14ac:dyDescent="0.25">
      <c r="A127" s="99"/>
      <c r="B127" s="315"/>
      <c r="C127" s="99"/>
      <c r="D127" s="99"/>
      <c r="E127" s="99"/>
      <c r="F127" s="99"/>
      <c r="G127" s="99"/>
      <c r="H127" s="99"/>
      <c r="I127" s="99"/>
      <c r="J127" s="99"/>
      <c r="K127" s="99"/>
      <c r="L127" s="99"/>
    </row>
    <row r="128" spans="1:18" x14ac:dyDescent="0.25">
      <c r="A128" s="99"/>
      <c r="B128" s="315"/>
      <c r="C128" s="99"/>
      <c r="D128" s="99"/>
      <c r="E128" s="99"/>
      <c r="F128" s="99"/>
      <c r="G128" s="99"/>
      <c r="H128" s="99"/>
      <c r="I128" s="99"/>
      <c r="J128" s="99"/>
      <c r="K128" s="99"/>
      <c r="L128" s="99"/>
    </row>
    <row r="129" spans="1:12" x14ac:dyDescent="0.25">
      <c r="A129" s="99"/>
      <c r="B129" s="315"/>
      <c r="C129" s="99"/>
      <c r="D129" s="99"/>
      <c r="E129" s="99"/>
      <c r="F129" s="99"/>
      <c r="G129" s="99"/>
      <c r="H129" s="99"/>
      <c r="I129" s="99"/>
      <c r="J129" s="99"/>
      <c r="K129" s="99"/>
      <c r="L129" s="99"/>
    </row>
    <row r="130" spans="1:12" x14ac:dyDescent="0.25">
      <c r="A130" s="99"/>
      <c r="B130" s="315"/>
      <c r="C130" s="99"/>
      <c r="D130" s="99"/>
      <c r="E130" s="99"/>
      <c r="F130" s="99"/>
      <c r="G130" s="99"/>
      <c r="H130" s="99"/>
      <c r="I130" s="99"/>
      <c r="J130" s="99"/>
      <c r="K130" s="99"/>
      <c r="L130" s="99"/>
    </row>
    <row r="131" spans="1:12" x14ac:dyDescent="0.25">
      <c r="A131" s="99"/>
      <c r="B131" s="315"/>
      <c r="C131" s="99"/>
      <c r="D131" s="99"/>
      <c r="E131" s="99"/>
      <c r="F131" s="99"/>
      <c r="G131" s="99"/>
      <c r="H131" s="99"/>
      <c r="I131" s="99"/>
      <c r="J131" s="99"/>
      <c r="K131" s="99"/>
      <c r="L131" s="99"/>
    </row>
    <row r="132" spans="1:12" x14ac:dyDescent="0.25">
      <c r="A132" s="99"/>
      <c r="B132" s="315"/>
      <c r="C132" s="99"/>
      <c r="D132" s="99"/>
      <c r="E132" s="99"/>
      <c r="F132" s="99"/>
      <c r="G132" s="99"/>
      <c r="H132" s="99"/>
      <c r="I132" s="99"/>
      <c r="J132" s="99"/>
      <c r="K132" s="99"/>
      <c r="L132" s="99"/>
    </row>
    <row r="133" spans="1:12" x14ac:dyDescent="0.25">
      <c r="A133" s="99"/>
      <c r="B133" s="315"/>
      <c r="C133" s="99"/>
      <c r="D133" s="99"/>
      <c r="E133" s="99"/>
      <c r="F133" s="99"/>
    </row>
  </sheetData>
  <sheetProtection algorithmName="SHA-512" hashValue="E3x6lcNrjjWJER3+v/Dll2TNse80agVeW21U4j5QYDFD24AWXlmXUNdojM14Q4t/qfFVCEJVAgiz6BVHRzAbEQ==" saltValue="INSX16ah1PiGyXRyexJc2Q==" spinCount="100000" sheet="1" objects="1" scenarios="1"/>
  <mergeCells count="33">
    <mergeCell ref="B12:D12"/>
    <mergeCell ref="C1:K1"/>
    <mergeCell ref="B2:D2"/>
    <mergeCell ref="F2:H2"/>
    <mergeCell ref="I2:J2"/>
    <mergeCell ref="C5:D5"/>
    <mergeCell ref="C8:D8"/>
    <mergeCell ref="A9:D9"/>
    <mergeCell ref="I9:J9"/>
    <mergeCell ref="A10:D10"/>
    <mergeCell ref="I10:J10"/>
    <mergeCell ref="B11:D11"/>
    <mergeCell ref="A51:K51"/>
    <mergeCell ref="B13:D13"/>
    <mergeCell ref="C14:D14"/>
    <mergeCell ref="A17:B17"/>
    <mergeCell ref="A23:B23"/>
    <mergeCell ref="J24:K25"/>
    <mergeCell ref="A33:B33"/>
    <mergeCell ref="A35:A36"/>
    <mergeCell ref="B35:L36"/>
    <mergeCell ref="A38:L38"/>
    <mergeCell ref="A39:B39"/>
    <mergeCell ref="C47:D47"/>
    <mergeCell ref="A98:B98"/>
    <mergeCell ref="A55:B55"/>
    <mergeCell ref="A56:B56"/>
    <mergeCell ref="I59:J59"/>
    <mergeCell ref="B74:C74"/>
    <mergeCell ref="A97:B97"/>
    <mergeCell ref="C97:E97"/>
    <mergeCell ref="F97:H97"/>
    <mergeCell ref="I97:K97"/>
  </mergeCells>
  <conditionalFormatting sqref="A10:E10">
    <cfRule type="expression" dxfId="86" priority="2">
      <formula>$E$9&lt;&gt;"Yes"</formula>
    </cfRule>
  </conditionalFormatting>
  <conditionalFormatting sqref="B59 B63 B65 B67 B69">
    <cfRule type="expression" dxfId="85" priority="20">
      <formula>B59=$W$59</formula>
    </cfRule>
  </conditionalFormatting>
  <conditionalFormatting sqref="B60 B62 B64 B66 B68 B70">
    <cfRule type="containsText" dxfId="84" priority="5" operator="containsText" text="Missing Information">
      <formula>NOT(ISERROR(SEARCH("Missing Information",B60)))</formula>
    </cfRule>
    <cfRule type="containsText" dxfId="83" priority="13" operator="containsText" text="N/A">
      <formula>NOT(ISERROR(SEARCH("N/A",B60)))</formula>
    </cfRule>
  </conditionalFormatting>
  <conditionalFormatting sqref="B60">
    <cfRule type="expression" dxfId="82" priority="19">
      <formula>B60=$W$58</formula>
    </cfRule>
  </conditionalFormatting>
  <conditionalFormatting sqref="B61">
    <cfRule type="expression" dxfId="81" priority="21">
      <formula>B61=$W$59</formula>
    </cfRule>
  </conditionalFormatting>
  <conditionalFormatting sqref="B62">
    <cfRule type="expression" dxfId="80" priority="18">
      <formula>B62=$W$58</formula>
    </cfRule>
  </conditionalFormatting>
  <conditionalFormatting sqref="B64">
    <cfRule type="expression" dxfId="79" priority="17">
      <formula>B64=$W$58</formula>
    </cfRule>
  </conditionalFormatting>
  <conditionalFormatting sqref="B66">
    <cfRule type="expression" dxfId="78" priority="16">
      <formula>B66=$W$58</formula>
    </cfRule>
  </conditionalFormatting>
  <conditionalFormatting sqref="B68">
    <cfRule type="expression" dxfId="77" priority="15">
      <formula>B68=$W$58</formula>
    </cfRule>
  </conditionalFormatting>
  <conditionalFormatting sqref="B70">
    <cfRule type="expression" dxfId="76" priority="14">
      <formula>B70=$W$58</formula>
    </cfRule>
  </conditionalFormatting>
  <conditionalFormatting sqref="B49:H49">
    <cfRule type="containsText" dxfId="75" priority="44" operator="containsText" text="(4) The indicated Market Contribution exceeds the Maximal Market Contribution.">
      <formula>NOT(ISERROR(SEARCH("(4) The indicated Market Contribution exceeds the Maximal Market Contribution.",B49)))</formula>
    </cfRule>
  </conditionalFormatting>
  <conditionalFormatting sqref="C56:H56">
    <cfRule type="containsText" dxfId="74" priority="32" operator="containsText" text="No">
      <formula>NOT(ISERROR(SEARCH("No",C56)))</formula>
    </cfRule>
  </conditionalFormatting>
  <conditionalFormatting sqref="D27">
    <cfRule type="expression" dxfId="73" priority="40">
      <formula>$X$27=1</formula>
    </cfRule>
  </conditionalFormatting>
  <conditionalFormatting sqref="D99 G99">
    <cfRule type="containsText" dxfId="72" priority="45" operator="containsText" text="No">
      <formula>NOT(ISERROR(SEARCH("No",D99)))</formula>
    </cfRule>
  </conditionalFormatting>
  <conditionalFormatting sqref="D100 G100 J100">
    <cfRule type="containsText" dxfId="71" priority="43" operator="containsText" text="No">
      <formula>NOT(ISERROR(SEARCH("No",D100)))</formula>
    </cfRule>
  </conditionalFormatting>
  <conditionalFormatting sqref="D26:E26">
    <cfRule type="expression" dxfId="70" priority="41">
      <formula>$X$26=1</formula>
    </cfRule>
  </conditionalFormatting>
  <conditionalFormatting sqref="D28:F28">
    <cfRule type="expression" dxfId="69" priority="37">
      <formula>$X$28=1</formula>
    </cfRule>
  </conditionalFormatting>
  <conditionalFormatting sqref="D29:F29">
    <cfRule type="expression" dxfId="68" priority="36">
      <formula>$X$29=1</formula>
    </cfRule>
  </conditionalFormatting>
  <conditionalFormatting sqref="D30:F30">
    <cfRule type="expression" dxfId="67" priority="35">
      <formula>$X$30=1</formula>
    </cfRule>
  </conditionalFormatting>
  <conditionalFormatting sqref="D31:F31">
    <cfRule type="expression" dxfId="66" priority="34">
      <formula>$X$31=1</formula>
    </cfRule>
  </conditionalFormatting>
  <conditionalFormatting sqref="E13">
    <cfRule type="containsText" dxfId="65" priority="1" operator="containsText" text="Non">
      <formula>NOT(ISERROR(SEARCH("Non",E13)))</formula>
    </cfRule>
  </conditionalFormatting>
  <conditionalFormatting sqref="E27">
    <cfRule type="expression" dxfId="64" priority="38" stopIfTrue="1">
      <formula>$X$27=1</formula>
    </cfRule>
  </conditionalFormatting>
  <conditionalFormatting sqref="E75:E78">
    <cfRule type="containsText" dxfId="63" priority="30" operator="containsText" text="No">
      <formula>NOT(ISERROR(SEARCH("No",E75)))</formula>
    </cfRule>
  </conditionalFormatting>
  <conditionalFormatting sqref="E80:E83">
    <cfRule type="containsText" dxfId="62" priority="29" operator="containsText" text="No">
      <formula>NOT(ISERROR(SEARCH("No",E80)))</formula>
    </cfRule>
  </conditionalFormatting>
  <conditionalFormatting sqref="E85:E91">
    <cfRule type="containsText" dxfId="61" priority="28" operator="containsText" text="No">
      <formula>NOT(ISERROR(SEARCH("No",E85)))</formula>
    </cfRule>
  </conditionalFormatting>
  <conditionalFormatting sqref="E93:E94">
    <cfRule type="containsText" dxfId="60" priority="3" operator="containsText" text="No">
      <formula>NOT(ISERROR(SEARCH("No",E93)))</formula>
    </cfRule>
  </conditionalFormatting>
  <conditionalFormatting sqref="F27">
    <cfRule type="expression" dxfId="59" priority="39">
      <formula>$X$27=1</formula>
    </cfRule>
  </conditionalFormatting>
  <conditionalFormatting sqref="H59">
    <cfRule type="expression" dxfId="58" priority="11">
      <formula>H59=$W$59</formula>
    </cfRule>
  </conditionalFormatting>
  <conditionalFormatting sqref="H60">
    <cfRule type="expression" dxfId="57" priority="26">
      <formula>H59&lt;B59</formula>
    </cfRule>
  </conditionalFormatting>
  <conditionalFormatting sqref="H61">
    <cfRule type="expression" dxfId="56" priority="10">
      <formula>H61=$W$59</formula>
    </cfRule>
  </conditionalFormatting>
  <conditionalFormatting sqref="H62">
    <cfRule type="expression" dxfId="55" priority="25">
      <formula>H61&lt;B61</formula>
    </cfRule>
  </conditionalFormatting>
  <conditionalFormatting sqref="H63">
    <cfRule type="expression" dxfId="54" priority="9">
      <formula>H63=$W$59</formula>
    </cfRule>
  </conditionalFormatting>
  <conditionalFormatting sqref="H64">
    <cfRule type="expression" dxfId="53" priority="24">
      <formula>H63&lt;B63</formula>
    </cfRule>
  </conditionalFormatting>
  <conditionalFormatting sqref="H65">
    <cfRule type="expression" dxfId="52" priority="8">
      <formula>H65=$W$59</formula>
    </cfRule>
  </conditionalFormatting>
  <conditionalFormatting sqref="H66">
    <cfRule type="expression" dxfId="51" priority="23">
      <formula>H65&lt;B65</formula>
    </cfRule>
  </conditionalFormatting>
  <conditionalFormatting sqref="H67">
    <cfRule type="expression" dxfId="50" priority="7">
      <formula>H67=$W$59</formula>
    </cfRule>
  </conditionalFormatting>
  <conditionalFormatting sqref="H68">
    <cfRule type="expression" dxfId="49" priority="22">
      <formula>H67&lt;B67</formula>
    </cfRule>
  </conditionalFormatting>
  <conditionalFormatting sqref="H69">
    <cfRule type="expression" dxfId="48" priority="6">
      <formula>H69=$W$59</formula>
    </cfRule>
  </conditionalFormatting>
  <conditionalFormatting sqref="H70">
    <cfRule type="expression" dxfId="47" priority="12">
      <formula>H69&lt;B69</formula>
    </cfRule>
  </conditionalFormatting>
  <conditionalFormatting sqref="H48:I48">
    <cfRule type="expression" dxfId="46" priority="31">
      <formula>$I$48&lt;&gt;""</formula>
    </cfRule>
  </conditionalFormatting>
  <conditionalFormatting sqref="J26:K31">
    <cfRule type="expression" dxfId="45" priority="33">
      <formula>$D26&gt;0</formula>
    </cfRule>
  </conditionalFormatting>
  <conditionalFormatting sqref="X10">
    <cfRule type="containsText" dxfId="44" priority="4" operator="containsText" text="Yes">
      <formula>NOT(ISERROR(SEARCH("Yes",X10)))</formula>
    </cfRule>
  </conditionalFormatting>
  <dataValidations count="14">
    <dataValidation type="decimal" allowBlank="1" showErrorMessage="1" errorTitle="Not a number" error="Enter the Envelope Contribution for this licence" sqref="C31 C28:C29" xr:uid="{1167FB8C-7BD1-44E8-86C2-D6B758AC8097}">
      <formula1>0</formula1>
      <formula2>999999999999999</formula2>
    </dataValidation>
    <dataValidation type="whole" allowBlank="1" showInputMessage="1" showErrorMessage="1" errorTitle="Not a number" error="Enter the Envelope Contribution for this licence" sqref="E40:E46" xr:uid="{8DA1E983-A66F-4E9D-84C1-16F5FF2461D6}">
      <formula1>0</formula1>
      <formula2>999999999999999</formula2>
    </dataValidation>
    <dataValidation type="whole" allowBlank="1" showInputMessage="1" showErrorMessage="1" sqref="V26:V31" xr:uid="{F8090CAE-5DC4-4275-B7BE-0CC2B2BDFE0E}">
      <formula1>0</formula1>
      <formula2>999</formula2>
    </dataValidation>
    <dataValidation type="list" allowBlank="1" showInputMessage="1" showErrorMessage="1" sqref="E8:E10" xr:uid="{1DCDC500-6211-49C5-90AE-BC9B0DB8A230}">
      <formula1>$A$76:$A$78</formula1>
    </dataValidation>
    <dataValidation type="decimal" allowBlank="1" showInputMessage="1" showErrorMessage="1" errorTitle="Not a number" error="Enter the Envelope Contribution for this licence" sqref="C26:C27" xr:uid="{FF26DE87-54E2-4D1B-8437-A67B5050C117}">
      <formula1>0</formula1>
      <formula2>999999999999999</formula2>
    </dataValidation>
    <dataValidation allowBlank="1" showInputMessage="1" showErrorMessage="1" promptTitle="# of Months" prompt="Enter adjusted exclusivity in &quot;number of months&quot;." sqref="W40:W45" xr:uid="{3F50DB84-ED96-421D-A686-52322EE3F5EA}"/>
    <dataValidation type="whole" allowBlank="1" showInputMessage="1" showErrorMessage="1" promptTitle="# of months" prompt="Enter the licence term in months. Equations are allowable (i.e. =6*12)" sqref="I26:I31" xr:uid="{30D9859F-C245-4A89-8ACF-1FA1D26B482A}">
      <formula1>1</formula1>
      <formula2>999</formula2>
    </dataValidation>
    <dataValidation type="date" allowBlank="1" showInputMessage="1" showErrorMessage="1" promptTitle="Date" prompt="ex. Y-M-D" sqref="G26:G31" xr:uid="{CCA83A17-0DA5-4CBA-A110-4061A02CC6C5}">
      <formula1>36526</formula1>
      <formula2>401749</formula2>
    </dataValidation>
    <dataValidation type="custom" showInputMessage="1" showErrorMessage="1" error="Please do not delete" sqref="I73 A73" xr:uid="{2503A51E-FEB4-4028-B5CA-4A4D29498CAA}">
      <formula1>""</formula1>
    </dataValidation>
    <dataValidation allowBlank="1" showInputMessage="1" showErrorMessage="1" promptTitle="OLMC Owner" prompt="At least 51% of the Applicant company’s ownership and the Project’s copyright are retained by an individual producer (or multiple producers) that self-identify as a member of the English Language Community in Quebec and who resides in Quebec" sqref="A10:A13 B10:D10" xr:uid="{AA28038F-11E2-496A-9594-B4AC555F2036}"/>
    <dataValidation type="list" allowBlank="1" showInputMessage="1" showErrorMessage="1" sqref="J26:J31" xr:uid="{F373690E-1CFD-4088-9125-F4A5C3A98A5C}">
      <formula1>$I$74:$I$76</formula1>
    </dataValidation>
    <dataValidation type="list" allowBlank="1" showInputMessage="1" showErrorMessage="1" sqref="K26:K31" xr:uid="{267BC0CE-EC1E-44B5-AC51-55746B2D6696}">
      <formula1>$H$74:$H$76</formula1>
    </dataValidation>
    <dataValidation allowBlank="1" showInputMessage="1" showErrorMessage="1" prompt="Please enter first the broadcasters and distributors, see note (1) here-above" sqref="F26" xr:uid="{7E9FB0D1-1877-4710-BCE6-578BB43CE1E2}"/>
    <dataValidation allowBlank="1" showInputMessage="1" showErrorMessage="1" promptTitle="Intl. Entity EFC" prompt="For C&amp;Y and Doc., the ELF and EDA must be at least 75% of Threshold. Also see note (2)" sqref="I48" xr:uid="{781C3A0D-747E-45D7-AE2E-82235A78CABB}"/>
  </dataValidations>
  <printOptions horizontalCentered="1"/>
  <pageMargins left="0.6692913385826772" right="0.6692913385826772" top="0.59055118110236227" bottom="0.6692913385826772" header="0.51181102362204722" footer="0.51181102362204722"/>
  <pageSetup scale="64" orientation="landscape" r:id="rId1"/>
  <headerFooter alignWithMargins="0">
    <oddFooter>&amp;C&amp;P</oddFooter>
  </headerFooter>
  <rowBreaks count="1" manualBreakCount="1">
    <brk id="56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locked="0" defaultSize="0" autoLine="0" autoPict="0">
                <anchor moveWithCells="1">
                  <from>
                    <xdr:col>2</xdr:col>
                    <xdr:colOff>22860</xdr:colOff>
                    <xdr:row>16</xdr:row>
                    <xdr:rowOff>22860</xdr:rowOff>
                  </from>
                  <to>
                    <xdr:col>6</xdr:col>
                    <xdr:colOff>22860</xdr:colOff>
                    <xdr:row>16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A5FFB-4284-41C5-A318-0485140E3AC7}">
  <sheetPr>
    <tabColor rgb="FF0070C0"/>
  </sheetPr>
  <dimension ref="A1:AU153"/>
  <sheetViews>
    <sheetView zoomScale="110" zoomScaleNormal="110" workbookViewId="0">
      <selection activeCell="B2" sqref="B2:D2"/>
    </sheetView>
  </sheetViews>
  <sheetFormatPr baseColWidth="10" defaultColWidth="8.90625" defaultRowHeight="15.6" x14ac:dyDescent="0.3"/>
  <cols>
    <col min="1" max="1" width="14.08984375" style="410" customWidth="1"/>
    <col min="2" max="2" width="20.90625" style="493" customWidth="1"/>
    <col min="3" max="3" width="14.1796875" style="410" customWidth="1"/>
    <col min="4" max="4" width="13.81640625" style="410" customWidth="1"/>
    <col min="5" max="5" width="13.54296875" style="410" customWidth="1"/>
    <col min="6" max="12" width="12.90625" style="410" customWidth="1"/>
    <col min="13" max="13" width="0.81640625" style="410" hidden="1" customWidth="1"/>
    <col min="14" max="21" width="0.453125" style="410" hidden="1" customWidth="1"/>
    <col min="22" max="22" width="10.90625" style="410" hidden="1" customWidth="1"/>
    <col min="23" max="24" width="8.90625" style="410" hidden="1" customWidth="1"/>
    <col min="25" max="25" width="9.81640625" style="410" hidden="1" customWidth="1"/>
    <col min="26" max="26" width="8.90625" style="410" hidden="1" customWidth="1"/>
    <col min="27" max="41" width="8.90625" style="410"/>
    <col min="42" max="16384" width="8.90625" style="492"/>
  </cols>
  <sheetData>
    <row r="1" spans="1:45" s="388" customFormat="1" ht="82.95" customHeight="1" thickBot="1" x14ac:dyDescent="0.35">
      <c r="A1" s="385"/>
      <c r="B1" s="386"/>
      <c r="C1" s="650" t="s">
        <v>273</v>
      </c>
      <c r="D1" s="650"/>
      <c r="E1" s="651"/>
      <c r="F1" s="651"/>
      <c r="G1" s="651"/>
      <c r="H1" s="651"/>
      <c r="I1" s="651"/>
      <c r="J1" s="651"/>
      <c r="K1" s="651"/>
      <c r="L1" s="387"/>
      <c r="M1" s="387"/>
      <c r="N1" s="387"/>
      <c r="O1" s="387"/>
      <c r="P1" s="387"/>
      <c r="Q1" s="387"/>
      <c r="R1" s="385"/>
      <c r="S1" s="385"/>
      <c r="T1" s="385"/>
      <c r="U1" s="385"/>
      <c r="V1" s="385"/>
      <c r="W1" s="385"/>
      <c r="X1" s="385"/>
      <c r="Y1" s="385"/>
      <c r="Z1" s="385"/>
      <c r="AA1" s="385"/>
      <c r="AB1" s="385"/>
      <c r="AC1" s="385"/>
      <c r="AD1" s="385"/>
      <c r="AE1" s="385"/>
      <c r="AF1" s="385"/>
      <c r="AG1" s="385"/>
      <c r="AH1" s="385"/>
      <c r="AI1" s="385"/>
      <c r="AJ1" s="385"/>
      <c r="AK1" s="385"/>
      <c r="AL1" s="385"/>
      <c r="AM1" s="385"/>
      <c r="AN1" s="385"/>
      <c r="AO1" s="385"/>
    </row>
    <row r="2" spans="1:45" s="393" customFormat="1" ht="30" customHeight="1" thickBot="1" x14ac:dyDescent="0.3">
      <c r="A2" s="389" t="s">
        <v>106</v>
      </c>
      <c r="B2" s="652"/>
      <c r="C2" s="652"/>
      <c r="D2" s="653"/>
      <c r="E2" s="390" t="s">
        <v>107</v>
      </c>
      <c r="F2" s="652"/>
      <c r="G2" s="653"/>
      <c r="H2" s="391"/>
      <c r="I2" s="390" t="s">
        <v>108</v>
      </c>
      <c r="J2" s="654"/>
      <c r="K2" s="655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392"/>
      <c r="X2" s="392"/>
      <c r="Y2" s="392"/>
      <c r="Z2" s="392"/>
      <c r="AA2" s="392"/>
      <c r="AB2" s="392"/>
      <c r="AC2" s="392"/>
      <c r="AD2" s="392"/>
      <c r="AE2" s="392"/>
      <c r="AF2" s="392"/>
      <c r="AG2" s="392"/>
      <c r="AH2" s="392"/>
      <c r="AI2" s="392"/>
      <c r="AJ2" s="392"/>
      <c r="AK2" s="392"/>
      <c r="AL2" s="392"/>
      <c r="AM2" s="392"/>
      <c r="AN2" s="392"/>
    </row>
    <row r="3" spans="1:45" s="393" customFormat="1" ht="21" x14ac:dyDescent="0.25">
      <c r="A3" s="302" t="s">
        <v>109</v>
      </c>
      <c r="B3" s="394"/>
      <c r="C3" s="395"/>
      <c r="D3" s="396"/>
      <c r="F3" s="330"/>
      <c r="G3" s="397"/>
      <c r="I3" s="330"/>
      <c r="J3" s="398"/>
      <c r="K3" s="398"/>
      <c r="L3" s="392"/>
      <c r="M3" s="392"/>
      <c r="N3" s="392"/>
      <c r="O3" s="392"/>
      <c r="P3" s="392"/>
      <c r="Q3" s="392"/>
      <c r="R3" s="392"/>
      <c r="S3" s="392"/>
      <c r="T3" s="392"/>
      <c r="U3" s="392"/>
      <c r="V3" s="392"/>
      <c r="W3" s="392"/>
      <c r="X3" s="392"/>
      <c r="Y3" s="392"/>
      <c r="Z3" s="392"/>
      <c r="AA3" s="392"/>
      <c r="AB3" s="392"/>
      <c r="AC3" s="392"/>
      <c r="AD3" s="392"/>
      <c r="AE3" s="392"/>
      <c r="AF3" s="392"/>
      <c r="AG3" s="392"/>
      <c r="AH3" s="392"/>
      <c r="AI3" s="392"/>
      <c r="AJ3" s="392"/>
      <c r="AK3" s="392"/>
      <c r="AL3" s="392"/>
      <c r="AM3" s="392"/>
      <c r="AN3" s="392"/>
    </row>
    <row r="4" spans="1:45" s="403" customFormat="1" x14ac:dyDescent="0.25">
      <c r="A4" s="399"/>
      <c r="B4" s="400"/>
      <c r="C4" s="401"/>
      <c r="D4" s="402"/>
      <c r="E4" s="28"/>
      <c r="F4" s="395"/>
      <c r="G4" s="395"/>
      <c r="H4" s="395"/>
      <c r="I4" s="395"/>
      <c r="J4" s="395"/>
      <c r="K4" s="392"/>
      <c r="L4" s="392"/>
      <c r="M4" s="392"/>
      <c r="N4" s="392"/>
      <c r="O4" s="392"/>
      <c r="P4" s="392"/>
      <c r="Q4" s="392"/>
      <c r="R4" s="392"/>
      <c r="S4" s="392"/>
      <c r="T4" s="392"/>
      <c r="U4" s="392"/>
      <c r="V4" s="392"/>
      <c r="W4" s="392"/>
      <c r="X4" s="392"/>
      <c r="Y4" s="392"/>
      <c r="Z4" s="392"/>
      <c r="AA4" s="392"/>
      <c r="AB4" s="392"/>
      <c r="AC4" s="392"/>
      <c r="AD4" s="392"/>
      <c r="AE4" s="392"/>
      <c r="AF4" s="392"/>
      <c r="AG4" s="392"/>
      <c r="AH4" s="392"/>
      <c r="AI4" s="392"/>
      <c r="AJ4" s="392"/>
      <c r="AK4" s="392"/>
      <c r="AL4" s="392"/>
      <c r="AM4" s="392"/>
    </row>
    <row r="5" spans="1:45" s="403" customFormat="1" ht="30" customHeight="1" x14ac:dyDescent="0.25">
      <c r="A5" s="656" t="s">
        <v>110</v>
      </c>
      <c r="B5" s="657"/>
      <c r="C5" s="401"/>
      <c r="D5" s="401"/>
      <c r="E5" s="28"/>
      <c r="F5" s="395"/>
      <c r="G5" s="395"/>
      <c r="H5" s="387"/>
      <c r="I5" s="392"/>
      <c r="J5" s="392"/>
      <c r="K5" s="392"/>
      <c r="L5" s="392"/>
      <c r="M5" s="392"/>
      <c r="N5" s="392"/>
      <c r="O5" s="392"/>
      <c r="P5" s="392"/>
      <c r="Q5" s="392"/>
      <c r="R5" s="392"/>
      <c r="S5" s="392"/>
      <c r="T5" s="392"/>
      <c r="U5" s="392"/>
      <c r="V5" s="392"/>
      <c r="W5" s="392"/>
      <c r="X5" s="392"/>
      <c r="Y5" s="392"/>
      <c r="Z5" s="392"/>
      <c r="AA5" s="392"/>
      <c r="AB5" s="392"/>
      <c r="AC5" s="392"/>
      <c r="AD5" s="392"/>
      <c r="AE5" s="392"/>
      <c r="AF5" s="392"/>
      <c r="AG5" s="392"/>
      <c r="AH5" s="392"/>
      <c r="AI5" s="392"/>
      <c r="AJ5" s="392"/>
      <c r="AK5" s="392"/>
      <c r="AL5" s="392"/>
      <c r="AM5" s="392"/>
    </row>
    <row r="6" spans="1:45" s="296" customFormat="1" ht="17.100000000000001" customHeight="1" x14ac:dyDescent="0.3">
      <c r="A6" s="292"/>
      <c r="B6" s="292"/>
      <c r="C6" s="293" t="s">
        <v>233</v>
      </c>
      <c r="D6" s="294"/>
      <c r="E6" s="294"/>
      <c r="F6" s="295"/>
      <c r="G6" s="292"/>
      <c r="H6" s="292"/>
      <c r="I6" s="292"/>
      <c r="J6" s="294"/>
      <c r="K6" s="294"/>
      <c r="L6" s="295"/>
      <c r="M6" s="292"/>
      <c r="U6" s="40"/>
    </row>
    <row r="7" spans="1:45" s="403" customFormat="1" x14ac:dyDescent="0.25">
      <c r="A7" s="404"/>
      <c r="B7" s="405"/>
      <c r="C7" s="405"/>
      <c r="D7" s="401"/>
      <c r="E7" s="401"/>
      <c r="F7" s="401"/>
      <c r="G7" s="28"/>
      <c r="H7" s="395"/>
      <c r="I7" s="395"/>
      <c r="J7" s="395"/>
      <c r="K7" s="395"/>
      <c r="L7" s="392"/>
      <c r="M7" s="392"/>
      <c r="N7" s="392"/>
      <c r="O7" s="392"/>
      <c r="P7" s="392"/>
      <c r="Q7" s="392"/>
      <c r="R7" s="392"/>
      <c r="S7" s="392"/>
      <c r="T7" s="392"/>
      <c r="U7" s="392"/>
      <c r="V7" s="392"/>
      <c r="W7" s="392"/>
      <c r="X7" s="392"/>
      <c r="Y7" s="392"/>
      <c r="Z7" s="392"/>
      <c r="AA7" s="392"/>
      <c r="AB7" s="392"/>
      <c r="AC7" s="392"/>
      <c r="AD7" s="392"/>
      <c r="AE7" s="392"/>
      <c r="AF7" s="392"/>
      <c r="AG7" s="392"/>
      <c r="AH7" s="392"/>
      <c r="AI7" s="392"/>
      <c r="AJ7" s="392"/>
      <c r="AK7" s="392"/>
      <c r="AL7" s="392"/>
      <c r="AM7" s="392"/>
      <c r="AN7" s="392"/>
      <c r="AO7" s="392"/>
    </row>
    <row r="8" spans="1:45" s="406" customFormat="1" ht="30" customHeight="1" x14ac:dyDescent="0.3">
      <c r="C8" s="609" t="s">
        <v>111</v>
      </c>
      <c r="D8" s="649"/>
      <c r="E8" s="20"/>
      <c r="F8" s="323" t="s">
        <v>112</v>
      </c>
      <c r="G8" s="12"/>
      <c r="H8" s="323" t="s">
        <v>234</v>
      </c>
      <c r="I8" s="12"/>
      <c r="J8" s="407" t="s">
        <v>113</v>
      </c>
      <c r="K8" s="13">
        <f>(G8*I8)/60</f>
        <v>0</v>
      </c>
      <c r="L8" s="408"/>
      <c r="M8" s="408"/>
      <c r="N8" s="408"/>
      <c r="O8" s="408"/>
      <c r="P8" s="408"/>
      <c r="Q8" s="409"/>
      <c r="R8" s="409"/>
      <c r="S8" s="410"/>
      <c r="T8" s="411"/>
      <c r="U8" s="410"/>
      <c r="V8" s="410"/>
      <c r="W8" s="410"/>
      <c r="X8" s="410"/>
      <c r="Y8" s="410"/>
      <c r="Z8" s="410"/>
      <c r="AA8" s="410"/>
      <c r="AB8" s="410"/>
      <c r="AC8" s="410"/>
      <c r="AD8" s="410"/>
      <c r="AE8" s="410"/>
      <c r="AF8" s="410"/>
      <c r="AG8" s="410"/>
      <c r="AH8" s="410"/>
      <c r="AI8" s="410"/>
      <c r="AJ8" s="410"/>
      <c r="AK8" s="410"/>
    </row>
    <row r="9" spans="1:45" s="403" customFormat="1" x14ac:dyDescent="0.25">
      <c r="A9" s="399"/>
      <c r="B9" s="400"/>
      <c r="C9" s="401"/>
      <c r="D9" s="412"/>
      <c r="E9" s="28"/>
      <c r="F9" s="395"/>
      <c r="G9" s="395"/>
      <c r="H9" s="395"/>
      <c r="I9" s="395"/>
      <c r="J9" s="395"/>
      <c r="K9" s="392"/>
      <c r="L9" s="392"/>
      <c r="M9" s="392"/>
      <c r="N9" s="392"/>
      <c r="O9" s="392"/>
      <c r="P9" s="392"/>
      <c r="Q9" s="392"/>
      <c r="R9" s="392"/>
      <c r="S9" s="392"/>
      <c r="T9" s="392"/>
      <c r="U9" s="392"/>
      <c r="V9" s="392"/>
      <c r="W9" s="392"/>
      <c r="X9" s="392"/>
      <c r="Y9" s="392"/>
      <c r="Z9" s="392"/>
      <c r="AA9" s="392"/>
      <c r="AB9" s="392"/>
      <c r="AC9" s="392"/>
      <c r="AD9" s="392"/>
      <c r="AE9" s="392"/>
      <c r="AF9" s="392"/>
      <c r="AG9" s="392"/>
      <c r="AH9" s="392"/>
      <c r="AI9" s="392"/>
      <c r="AJ9" s="392"/>
      <c r="AK9" s="392"/>
      <c r="AL9" s="392"/>
      <c r="AM9" s="392"/>
    </row>
    <row r="10" spans="1:45" s="406" customFormat="1" ht="30" customHeight="1" x14ac:dyDescent="0.3">
      <c r="C10" s="609" t="s">
        <v>114</v>
      </c>
      <c r="D10" s="649"/>
      <c r="E10" s="18"/>
      <c r="F10" s="27">
        <f>IF(E10="Oui",60%,49%)</f>
        <v>0.49</v>
      </c>
      <c r="I10" s="395"/>
      <c r="J10" s="407" t="s">
        <v>116</v>
      </c>
      <c r="K10" s="29">
        <f>IF(K8=0,0,E8/$K$8)</f>
        <v>0</v>
      </c>
      <c r="L10" s="392"/>
      <c r="M10" s="409"/>
      <c r="N10" s="410"/>
      <c r="O10" s="411"/>
      <c r="P10" s="410"/>
      <c r="Q10" s="410"/>
      <c r="R10" s="410"/>
      <c r="S10" s="410"/>
      <c r="T10" s="410"/>
      <c r="U10" s="410"/>
      <c r="V10" s="410"/>
      <c r="W10" s="410"/>
      <c r="X10" s="410"/>
      <c r="Y10" s="410"/>
      <c r="Z10" s="410"/>
      <c r="AA10" s="410"/>
      <c r="AB10" s="410"/>
      <c r="AC10" s="410"/>
      <c r="AD10" s="410"/>
      <c r="AE10" s="410"/>
      <c r="AF10" s="410"/>
    </row>
    <row r="11" spans="1:45" s="406" customFormat="1" ht="24.9" customHeight="1" x14ac:dyDescent="0.3">
      <c r="F11" s="413"/>
      <c r="I11" s="413"/>
      <c r="L11" s="408"/>
      <c r="M11" s="409"/>
      <c r="N11" s="410"/>
      <c r="O11" s="411"/>
      <c r="P11" s="410"/>
      <c r="Q11" s="410"/>
      <c r="R11" s="410"/>
      <c r="S11" s="410"/>
      <c r="T11" s="410"/>
      <c r="U11" s="410"/>
      <c r="V11" s="609" t="s">
        <v>117</v>
      </c>
      <c r="W11" s="649"/>
      <c r="X11" s="18"/>
      <c r="Y11" s="410"/>
      <c r="Z11" s="410"/>
      <c r="AA11" s="410"/>
      <c r="AB11" s="410"/>
      <c r="AC11" s="410"/>
      <c r="AD11" s="410"/>
      <c r="AE11" s="410"/>
      <c r="AF11" s="410"/>
    </row>
    <row r="12" spans="1:45" s="403" customFormat="1" ht="30" customHeight="1" x14ac:dyDescent="0.25">
      <c r="A12" s="414"/>
      <c r="B12" s="415"/>
      <c r="C12" s="609" t="s">
        <v>121</v>
      </c>
      <c r="D12" s="610"/>
      <c r="E12" s="18"/>
      <c r="F12" s="395"/>
      <c r="I12" s="578" t="s">
        <v>193</v>
      </c>
      <c r="J12" s="606"/>
      <c r="K12" s="95" t="str">
        <f>IFERROR(IF(OR(A77&lt;2,A77=21,N(E8)=0,K10=0),"",IF(AND(AND(A77&gt;15,A77&lt;21),K10&gt;=800000),"Oui",IF(AND(OR(A77&lt;5,AND(A77&gt;11,A77&lt;16)),K10&gt;=750000),"Oui",IF(AND(AND(A77&gt;6,A77&lt;12),K10&gt;=400000),"Oui","Non")))),"")</f>
        <v/>
      </c>
      <c r="L12" s="97" t="str">
        <f>IFERROR(IF(K12="Oui","S/O pour les productions d’animation",""),"")</f>
        <v/>
      </c>
      <c r="M12" s="392"/>
      <c r="N12" s="392"/>
      <c r="O12" s="392"/>
      <c r="P12" s="392"/>
      <c r="Q12" s="392"/>
      <c r="R12" s="392"/>
      <c r="S12" s="392"/>
      <c r="T12" s="392"/>
      <c r="U12" s="392"/>
      <c r="V12" s="414"/>
      <c r="W12" s="401"/>
      <c r="X12" s="401"/>
      <c r="Y12" s="149"/>
      <c r="Z12" s="392"/>
      <c r="AA12" s="392"/>
      <c r="AB12" s="392"/>
      <c r="AC12" s="392"/>
      <c r="AD12" s="392"/>
      <c r="AE12" s="392"/>
      <c r="AF12" s="392"/>
      <c r="AG12" s="392"/>
      <c r="AH12" s="392"/>
      <c r="AI12" s="392"/>
      <c r="AJ12" s="392"/>
      <c r="AK12" s="392"/>
      <c r="AL12" s="392"/>
      <c r="AM12" s="392"/>
    </row>
    <row r="13" spans="1:45" s="403" customFormat="1" ht="30" customHeight="1" x14ac:dyDescent="0.25">
      <c r="A13" s="414"/>
      <c r="B13" s="644" t="s">
        <v>122</v>
      </c>
      <c r="C13" s="645"/>
      <c r="D13" s="646"/>
      <c r="E13" s="35"/>
      <c r="F13" s="395"/>
      <c r="I13" s="578" t="s">
        <v>118</v>
      </c>
      <c r="J13" s="606"/>
      <c r="K13" s="13" t="str">
        <f>IF(N(E$8)=0,"",IF(E$8&gt;500000,"Oui","Non"))</f>
        <v/>
      </c>
      <c r="L13" s="97" t="str">
        <f>IFERROR(IF(K13="Oui","S/O pour les productions tournées en direct",""),"")</f>
        <v/>
      </c>
      <c r="M13" s="392"/>
      <c r="N13" s="392"/>
      <c r="O13" s="392"/>
      <c r="P13" s="392"/>
      <c r="Q13" s="392"/>
      <c r="R13" s="392"/>
      <c r="S13" s="392"/>
      <c r="T13" s="392"/>
      <c r="U13" s="392"/>
      <c r="V13" s="392"/>
      <c r="W13" s="392"/>
      <c r="X13" s="392"/>
      <c r="Y13" s="392"/>
      <c r="Z13" s="392"/>
      <c r="AA13" s="392"/>
      <c r="AB13" s="392"/>
      <c r="AC13" s="392"/>
      <c r="AD13" s="392"/>
      <c r="AE13" s="392"/>
      <c r="AF13" s="392"/>
      <c r="AG13" s="392"/>
      <c r="AH13" s="392"/>
      <c r="AI13" s="392"/>
      <c r="AJ13" s="392"/>
      <c r="AK13" s="392"/>
      <c r="AL13" s="392"/>
      <c r="AM13" s="392"/>
      <c r="AN13" s="392"/>
    </row>
    <row r="14" spans="1:45" s="403" customFormat="1" ht="15.6" hidden="1" customHeight="1" x14ac:dyDescent="0.25">
      <c r="B14"/>
      <c r="C14"/>
      <c r="D14"/>
      <c r="E14"/>
      <c r="F14" s="395"/>
      <c r="I14" s="395"/>
      <c r="J14" s="387"/>
      <c r="K14" s="408"/>
      <c r="L14" s="392"/>
      <c r="M14" s="392"/>
      <c r="N14" s="392"/>
      <c r="O14" s="392"/>
      <c r="P14" s="392"/>
      <c r="Q14" s="392"/>
      <c r="R14" s="392"/>
      <c r="S14" s="392"/>
      <c r="T14" s="392"/>
      <c r="U14" s="392"/>
      <c r="V14" s="204" t="s">
        <v>119</v>
      </c>
      <c r="W14" s="30" t="s">
        <v>115</v>
      </c>
      <c r="X14" s="392"/>
      <c r="Y14" s="392"/>
      <c r="Z14" s="392"/>
      <c r="AA14" s="392"/>
      <c r="AB14" s="392"/>
      <c r="AC14" s="392"/>
      <c r="AD14" s="392"/>
      <c r="AE14" s="392"/>
      <c r="AF14" s="392"/>
      <c r="AG14" s="392"/>
      <c r="AH14" s="392"/>
      <c r="AI14" s="392"/>
      <c r="AJ14" s="392"/>
      <c r="AK14" s="392"/>
      <c r="AL14" s="392"/>
      <c r="AM14" s="392"/>
      <c r="AN14" s="392"/>
    </row>
    <row r="15" spans="1:45" s="415" customFormat="1" ht="15.6" hidden="1" customHeight="1" x14ac:dyDescent="0.25">
      <c r="B15"/>
      <c r="C15"/>
      <c r="D15"/>
      <c r="E15"/>
      <c r="J15" s="416"/>
      <c r="K15" s="408"/>
      <c r="L15" s="392"/>
      <c r="M15" s="413"/>
      <c r="N15" s="413"/>
      <c r="O15" s="413"/>
      <c r="P15" s="413"/>
      <c r="Q15" s="413"/>
      <c r="R15" s="413"/>
      <c r="S15" s="413"/>
      <c r="T15" s="413"/>
      <c r="U15" s="413"/>
      <c r="V15" s="413"/>
      <c r="W15" s="413"/>
      <c r="X15" s="413"/>
      <c r="Y15" s="413"/>
      <c r="Z15" s="413"/>
      <c r="AA15" s="413"/>
      <c r="AB15" s="413"/>
      <c r="AC15" s="413"/>
      <c r="AD15" s="413"/>
      <c r="AE15" s="413"/>
      <c r="AF15" s="413"/>
      <c r="AG15" s="413"/>
      <c r="AH15" s="413"/>
      <c r="AI15" s="413"/>
      <c r="AJ15" s="413"/>
      <c r="AK15" s="413"/>
      <c r="AL15" s="413"/>
      <c r="AM15" s="413"/>
      <c r="AN15" s="413"/>
      <c r="AO15" s="413"/>
    </row>
    <row r="16" spans="1:45" s="403" customFormat="1" ht="30" customHeight="1" x14ac:dyDescent="0.25">
      <c r="B16" s="644" t="s">
        <v>235</v>
      </c>
      <c r="C16" s="645"/>
      <c r="D16" s="646"/>
      <c r="E16" s="555"/>
      <c r="F16" s="415"/>
      <c r="L16" s="392"/>
      <c r="M16" s="392"/>
      <c r="N16" s="392"/>
      <c r="O16" s="392"/>
      <c r="P16" s="392"/>
      <c r="Q16" s="392"/>
      <c r="R16" s="392"/>
      <c r="S16" s="392"/>
      <c r="T16" s="392"/>
      <c r="U16" s="392"/>
      <c r="V16" s="392"/>
      <c r="W16" s="392"/>
      <c r="X16" s="392"/>
      <c r="Y16" s="392"/>
      <c r="Z16" s="392"/>
      <c r="AA16" s="392"/>
      <c r="AB16" s="392"/>
      <c r="AC16" s="392"/>
      <c r="AD16" s="392"/>
      <c r="AE16" s="392"/>
      <c r="AF16" s="392"/>
      <c r="AG16" s="392"/>
      <c r="AH16" s="392"/>
      <c r="AI16" s="392"/>
      <c r="AJ16" s="392"/>
      <c r="AK16" s="392"/>
      <c r="AL16" s="392"/>
      <c r="AM16" s="392"/>
      <c r="AN16" s="392"/>
      <c r="AO16" s="392"/>
      <c r="AP16" s="392"/>
      <c r="AQ16" s="392"/>
      <c r="AR16" s="392"/>
      <c r="AS16" s="392"/>
    </row>
    <row r="17" spans="1:46" s="403" customFormat="1" ht="30" customHeight="1" x14ac:dyDescent="0.25">
      <c r="A17" s="414"/>
      <c r="B17" s="644" t="s">
        <v>277</v>
      </c>
      <c r="C17" s="645"/>
      <c r="D17" s="646"/>
      <c r="E17" s="556" t="str">
        <f>IF(E8&gt;0,E8*0.07,"")</f>
        <v/>
      </c>
      <c r="L17" s="408"/>
      <c r="M17" s="392"/>
      <c r="N17" s="392"/>
      <c r="O17" s="392"/>
      <c r="P17" s="392"/>
      <c r="Q17" s="392"/>
      <c r="R17" s="392"/>
      <c r="S17" s="392"/>
      <c r="T17" s="392"/>
      <c r="U17" s="392"/>
      <c r="V17" s="392"/>
      <c r="W17" s="392"/>
      <c r="X17" s="392"/>
      <c r="Y17" s="392"/>
      <c r="Z17" s="392"/>
      <c r="AA17" s="392"/>
      <c r="AB17" s="392"/>
      <c r="AC17" s="392"/>
      <c r="AD17" s="392"/>
      <c r="AE17" s="392"/>
      <c r="AF17" s="392"/>
      <c r="AG17" s="392"/>
      <c r="AH17" s="392"/>
      <c r="AI17" s="392"/>
      <c r="AJ17" s="392"/>
      <c r="AK17" s="392"/>
      <c r="AL17" s="392"/>
      <c r="AM17" s="392"/>
      <c r="AN17" s="392"/>
      <c r="AO17" s="392"/>
      <c r="AP17" s="392"/>
      <c r="AQ17" s="392"/>
      <c r="AR17" s="392"/>
      <c r="AS17" s="392"/>
      <c r="AT17" s="392"/>
    </row>
    <row r="18" spans="1:46" s="415" customFormat="1" ht="30" customHeight="1" x14ac:dyDescent="0.25">
      <c r="B18" s="644" t="s">
        <v>278</v>
      </c>
      <c r="C18" s="647"/>
      <c r="D18" s="648"/>
      <c r="E18" s="557" t="str">
        <f>IF(E17="","",E16-E17)</f>
        <v/>
      </c>
      <c r="J18" s="403"/>
      <c r="K18" s="413"/>
      <c r="L18" s="413"/>
      <c r="M18" s="417"/>
      <c r="N18" s="418"/>
      <c r="O18" s="413"/>
      <c r="P18" s="413"/>
      <c r="Q18" s="413"/>
      <c r="R18" s="413"/>
      <c r="S18" s="413"/>
      <c r="T18" s="413"/>
      <c r="U18" s="413"/>
      <c r="V18" s="413"/>
      <c r="W18" s="413"/>
      <c r="X18" s="413"/>
      <c r="Y18" s="413"/>
      <c r="Z18" s="413"/>
      <c r="AA18" s="413"/>
      <c r="AB18" s="413"/>
      <c r="AC18" s="413"/>
      <c r="AD18" s="413"/>
      <c r="AE18" s="413"/>
      <c r="AF18" s="413"/>
      <c r="AG18" s="413"/>
      <c r="AH18" s="413"/>
      <c r="AI18" s="413"/>
      <c r="AJ18" s="413"/>
    </row>
    <row r="19" spans="1:46" s="415" customFormat="1" ht="30" customHeight="1" x14ac:dyDescent="0.25">
      <c r="C19" s="609" t="s">
        <v>120</v>
      </c>
      <c r="D19" s="610"/>
      <c r="E19" s="31"/>
      <c r="F19"/>
      <c r="G19"/>
      <c r="H19"/>
      <c r="I19"/>
      <c r="J19"/>
      <c r="K19" s="413"/>
      <c r="L19" s="413"/>
      <c r="M19" s="417"/>
      <c r="N19" s="418"/>
      <c r="O19" s="413"/>
      <c r="P19" s="413"/>
      <c r="Q19" s="413"/>
      <c r="R19" s="413"/>
      <c r="S19" s="413"/>
      <c r="T19" s="413"/>
      <c r="U19" s="413"/>
      <c r="V19" s="413"/>
      <c r="W19" s="413"/>
      <c r="X19" s="413"/>
      <c r="Y19" s="413"/>
      <c r="Z19" s="413"/>
      <c r="AA19" s="413"/>
      <c r="AB19" s="413"/>
      <c r="AC19" s="413"/>
      <c r="AD19" s="413"/>
      <c r="AE19" s="413"/>
      <c r="AF19" s="413"/>
      <c r="AG19" s="413"/>
      <c r="AH19" s="413"/>
      <c r="AI19" s="413"/>
      <c r="AJ19" s="413"/>
    </row>
    <row r="20" spans="1:46" s="415" customFormat="1" ht="14.4" hidden="1" x14ac:dyDescent="0.25">
      <c r="F20" s="419"/>
      <c r="G20" s="420"/>
      <c r="H20" s="419"/>
      <c r="I20" s="421"/>
      <c r="J20" s="413"/>
      <c r="K20" s="413"/>
      <c r="L20" s="413"/>
      <c r="M20" s="413"/>
      <c r="N20" s="413"/>
      <c r="O20" s="413"/>
      <c r="P20" s="413"/>
      <c r="Q20" s="413"/>
      <c r="R20" s="413"/>
      <c r="S20" s="413"/>
      <c r="T20" s="413"/>
      <c r="U20" s="413"/>
      <c r="V20" s="413"/>
      <c r="W20" s="413"/>
      <c r="X20" s="413"/>
      <c r="Y20" s="413"/>
      <c r="Z20" s="413"/>
      <c r="AA20" s="413"/>
      <c r="AB20" s="413"/>
      <c r="AC20" s="413"/>
      <c r="AD20" s="413"/>
      <c r="AE20" s="413"/>
      <c r="AF20" s="413"/>
      <c r="AG20" s="413"/>
      <c r="AH20" s="413"/>
      <c r="AI20" s="413"/>
    </row>
    <row r="21" spans="1:46" s="415" customFormat="1" ht="16.8" hidden="1" customHeight="1" x14ac:dyDescent="0.25">
      <c r="F21" s="419"/>
      <c r="G21" s="420"/>
      <c r="H21" s="419"/>
      <c r="I21" s="421"/>
      <c r="J21" s="413"/>
      <c r="K21" s="413"/>
      <c r="L21" s="413"/>
      <c r="M21" s="413"/>
      <c r="N21" s="413"/>
      <c r="O21" s="413"/>
      <c r="P21" s="413"/>
      <c r="Q21" s="413"/>
      <c r="R21" s="413"/>
      <c r="S21" s="413"/>
      <c r="T21" s="413"/>
      <c r="U21" s="413"/>
      <c r="V21" s="204" t="s">
        <v>123</v>
      </c>
      <c r="W21" s="30">
        <f>C$36-E$19</f>
        <v>0</v>
      </c>
      <c r="X21" s="413"/>
      <c r="Y21" s="413"/>
      <c r="Z21" s="413"/>
      <c r="AA21" s="413"/>
      <c r="AB21" s="413"/>
      <c r="AC21" s="413"/>
      <c r="AD21" s="413"/>
      <c r="AE21" s="413"/>
      <c r="AF21" s="413"/>
      <c r="AG21" s="413"/>
      <c r="AH21" s="413"/>
      <c r="AI21" s="413"/>
    </row>
    <row r="22" spans="1:46" s="415" customFormat="1" ht="14.4" hidden="1" x14ac:dyDescent="0.25">
      <c r="F22" s="419"/>
      <c r="G22" s="420"/>
      <c r="H22" s="419"/>
      <c r="I22" s="421"/>
      <c r="J22" s="413"/>
      <c r="K22" s="413"/>
      <c r="L22" s="413"/>
      <c r="M22" s="413"/>
      <c r="N22" s="413"/>
      <c r="O22" s="413"/>
      <c r="P22" s="413"/>
      <c r="Q22" s="413"/>
      <c r="R22" s="413"/>
      <c r="S22" s="413"/>
      <c r="T22" s="413"/>
      <c r="U22" s="413"/>
      <c r="V22" s="413"/>
      <c r="W22" s="413"/>
      <c r="X22" s="413"/>
      <c r="Y22" s="413"/>
      <c r="Z22" s="413"/>
      <c r="AA22" s="413"/>
      <c r="AB22" s="413"/>
      <c r="AC22" s="413"/>
      <c r="AD22" s="413"/>
      <c r="AE22" s="413"/>
      <c r="AF22" s="413"/>
      <c r="AG22" s="413"/>
      <c r="AH22" s="413"/>
      <c r="AI22" s="413"/>
    </row>
    <row r="23" spans="1:46" s="415" customFormat="1" ht="14.4" x14ac:dyDescent="0.25">
      <c r="F23" s="419"/>
      <c r="G23" s="419"/>
      <c r="H23" s="419"/>
      <c r="I23" s="403"/>
      <c r="J23" s="413"/>
      <c r="K23" s="413"/>
      <c r="L23" s="413"/>
      <c r="M23" s="413"/>
      <c r="N23" s="413"/>
      <c r="O23" s="413"/>
      <c r="P23" s="413"/>
      <c r="Q23" s="413"/>
      <c r="R23" s="413"/>
      <c r="S23" s="413"/>
      <c r="T23" s="413"/>
      <c r="U23" s="413"/>
      <c r="V23" s="413"/>
      <c r="W23" s="413"/>
      <c r="X23" s="413"/>
      <c r="Y23" s="413"/>
      <c r="Z23" s="413"/>
      <c r="AA23" s="413"/>
      <c r="AB23" s="413"/>
      <c r="AC23" s="413"/>
      <c r="AD23" s="413"/>
      <c r="AE23" s="413"/>
      <c r="AF23" s="413"/>
      <c r="AG23" s="413"/>
      <c r="AH23" s="413"/>
      <c r="AI23" s="413"/>
    </row>
    <row r="24" spans="1:46" s="499" customFormat="1" ht="13.8" x14ac:dyDescent="0.25">
      <c r="A24" s="209" t="s">
        <v>230</v>
      </c>
      <c r="B24" s="292"/>
      <c r="C24" s="495"/>
      <c r="D24" s="294"/>
      <c r="E24" s="294"/>
      <c r="F24" s="294"/>
      <c r="G24" s="496"/>
      <c r="H24" s="496"/>
      <c r="I24" s="496"/>
      <c r="J24" s="496"/>
      <c r="K24" s="496"/>
      <c r="L24" s="292"/>
      <c r="M24" s="292"/>
      <c r="N24" s="292"/>
      <c r="O24" s="497"/>
      <c r="P24" s="497"/>
      <c r="Q24" s="497"/>
      <c r="R24" s="497"/>
      <c r="S24" s="498"/>
      <c r="T24" s="498"/>
      <c r="U24" s="498"/>
      <c r="V24" s="498"/>
      <c r="W24" s="498"/>
      <c r="X24" s="498"/>
      <c r="Y24" s="498"/>
      <c r="Z24" s="498"/>
      <c r="AA24" s="498"/>
      <c r="AB24" s="498"/>
      <c r="AC24" s="498"/>
      <c r="AD24" s="498"/>
      <c r="AE24" s="498"/>
      <c r="AF24" s="498"/>
      <c r="AG24" s="498"/>
      <c r="AH24" s="498"/>
      <c r="AI24" s="498"/>
      <c r="AJ24" s="498"/>
      <c r="AK24" s="498"/>
      <c r="AL24" s="498"/>
      <c r="AM24" s="498"/>
      <c r="AN24" s="498"/>
      <c r="AO24" s="498"/>
      <c r="AP24" s="498"/>
      <c r="AQ24" s="498"/>
      <c r="AR24" s="498"/>
    </row>
    <row r="25" spans="1:46" s="499" customFormat="1" ht="13.8" x14ac:dyDescent="0.25">
      <c r="A25" s="209" t="s">
        <v>231</v>
      </c>
      <c r="B25" s="292"/>
      <c r="C25" s="495"/>
      <c r="D25" s="294"/>
      <c r="E25" s="294"/>
      <c r="F25" s="294"/>
      <c r="G25" s="496"/>
      <c r="H25" s="496"/>
      <c r="I25" s="496"/>
      <c r="J25" s="496"/>
      <c r="K25" s="496"/>
      <c r="L25" s="292"/>
      <c r="M25" s="292"/>
      <c r="N25" s="292"/>
      <c r="O25" s="497"/>
      <c r="P25" s="497"/>
      <c r="Q25" s="497"/>
      <c r="R25" s="497"/>
      <c r="S25" s="498"/>
      <c r="T25" s="498"/>
      <c r="U25" s="498"/>
      <c r="V25" s="498"/>
      <c r="W25" s="498"/>
      <c r="X25" s="498"/>
      <c r="Y25" s="498"/>
      <c r="Z25" s="498"/>
      <c r="AA25" s="498"/>
      <c r="AB25" s="498"/>
      <c r="AC25" s="498"/>
      <c r="AD25" s="498"/>
      <c r="AE25" s="498"/>
      <c r="AF25" s="498"/>
      <c r="AG25" s="498"/>
      <c r="AH25" s="498"/>
      <c r="AI25" s="498"/>
      <c r="AJ25" s="498"/>
      <c r="AK25" s="498"/>
      <c r="AL25" s="498"/>
      <c r="AM25" s="498"/>
      <c r="AN25" s="498"/>
      <c r="AO25" s="498"/>
      <c r="AP25" s="498"/>
      <c r="AQ25" s="498"/>
      <c r="AR25" s="498"/>
    </row>
    <row r="26" spans="1:46" s="499" customFormat="1" ht="18.75" customHeight="1" x14ac:dyDescent="0.25">
      <c r="A26" s="291" t="s">
        <v>232</v>
      </c>
      <c r="B26" s="292"/>
      <c r="C26" s="292"/>
      <c r="D26" s="500"/>
      <c r="E26" s="501"/>
      <c r="F26" s="501"/>
      <c r="G26" s="502"/>
      <c r="H26" s="292"/>
      <c r="I26" s="40"/>
      <c r="J26" s="40"/>
      <c r="K26" s="40"/>
      <c r="L26" s="40"/>
      <c r="M26" s="497"/>
      <c r="N26" s="497"/>
      <c r="O26" s="497"/>
      <c r="P26" s="497"/>
      <c r="Q26" s="497"/>
      <c r="R26" s="497"/>
      <c r="S26" s="498"/>
      <c r="T26" s="498"/>
      <c r="U26" s="498"/>
      <c r="V26" s="498"/>
      <c r="W26" s="498"/>
      <c r="X26" s="498"/>
      <c r="Y26" s="498"/>
      <c r="Z26" s="498"/>
      <c r="AA26" s="498"/>
      <c r="AB26" s="498"/>
      <c r="AC26" s="498"/>
      <c r="AD26" s="498"/>
      <c r="AE26" s="498"/>
      <c r="AF26" s="498"/>
      <c r="AG26" s="498"/>
      <c r="AH26" s="498"/>
      <c r="AI26" s="498"/>
      <c r="AJ26" s="498"/>
      <c r="AK26" s="498"/>
      <c r="AL26" s="498"/>
      <c r="AM26" s="498"/>
      <c r="AN26" s="498"/>
      <c r="AO26" s="498"/>
      <c r="AP26" s="498"/>
    </row>
    <row r="27" spans="1:46" s="403" customFormat="1" ht="85.8" customHeight="1" x14ac:dyDescent="0.3">
      <c r="A27" s="616" t="s">
        <v>250</v>
      </c>
      <c r="B27" s="617"/>
      <c r="C27" s="336" t="s">
        <v>251</v>
      </c>
      <c r="D27" s="47" t="s">
        <v>252</v>
      </c>
      <c r="E27" s="47" t="s">
        <v>253</v>
      </c>
      <c r="F27" s="17" t="s">
        <v>255</v>
      </c>
      <c r="G27" s="226" t="s">
        <v>254</v>
      </c>
      <c r="H27" s="226" t="s">
        <v>125</v>
      </c>
      <c r="I27" s="426" t="s">
        <v>126</v>
      </c>
      <c r="J27" s="244" t="s">
        <v>236</v>
      </c>
      <c r="K27" s="244" t="s">
        <v>237</v>
      </c>
      <c r="L27" s="426" t="s">
        <v>128</v>
      </c>
      <c r="M27" s="392"/>
      <c r="N27" s="387"/>
      <c r="O27" s="387"/>
      <c r="P27" s="387"/>
      <c r="Q27" s="387"/>
      <c r="R27" s="387"/>
      <c r="S27" s="387"/>
      <c r="T27" s="387"/>
      <c r="U27" s="387"/>
      <c r="V27" s="423" t="s">
        <v>127</v>
      </c>
      <c r="W27" s="150" t="s">
        <v>124</v>
      </c>
      <c r="X27" s="387"/>
      <c r="Y27" s="387"/>
      <c r="Z27" s="387"/>
      <c r="AA27" s="387"/>
      <c r="AB27" s="387"/>
      <c r="AC27" s="387"/>
      <c r="AD27" s="387"/>
      <c r="AE27" s="387"/>
      <c r="AF27" s="387"/>
      <c r="AG27" s="387"/>
      <c r="AH27" s="387"/>
      <c r="AI27" s="387"/>
      <c r="AJ27" s="387"/>
      <c r="AK27" s="387"/>
      <c r="AL27" s="387"/>
    </row>
    <row r="28" spans="1:46" s="403" customFormat="1" ht="19.95" customHeight="1" x14ac:dyDescent="0.25">
      <c r="A28" s="504"/>
      <c r="B28" s="505"/>
      <c r="C28" s="505"/>
      <c r="D28" s="506"/>
      <c r="E28" s="220"/>
      <c r="F28" s="220"/>
      <c r="G28" s="219"/>
      <c r="H28" s="219"/>
      <c r="I28" s="219"/>
      <c r="J28" s="611" t="s">
        <v>238</v>
      </c>
      <c r="K28" s="612"/>
      <c r="L28" s="221"/>
      <c r="M28" s="392"/>
      <c r="N28" s="387"/>
      <c r="O28" s="387"/>
      <c r="P28" s="387"/>
      <c r="Q28" s="387"/>
      <c r="R28" s="387"/>
      <c r="S28" s="387"/>
      <c r="T28" s="387"/>
      <c r="U28" s="387"/>
      <c r="V28" s="503"/>
      <c r="W28" s="387"/>
      <c r="X28" s="387"/>
      <c r="Y28" s="387"/>
      <c r="Z28" s="387"/>
      <c r="AA28" s="387"/>
      <c r="AB28" s="387"/>
      <c r="AC28" s="387"/>
      <c r="AD28" s="387"/>
      <c r="AE28" s="387"/>
      <c r="AF28" s="387"/>
      <c r="AG28" s="387"/>
      <c r="AH28" s="387"/>
      <c r="AI28" s="387"/>
      <c r="AJ28" s="387"/>
      <c r="AK28" s="387"/>
      <c r="AL28" s="387"/>
    </row>
    <row r="29" spans="1:46" s="403" customFormat="1" ht="20.100000000000001" customHeight="1" x14ac:dyDescent="0.25">
      <c r="A29" s="424"/>
      <c r="B29" s="425" t="s">
        <v>129</v>
      </c>
      <c r="C29" s="32">
        <f>E19</f>
        <v>0</v>
      </c>
      <c r="D29" s="511" t="str">
        <f>IF(SUM(X30:X35)&gt;0,Z30,"")</f>
        <v/>
      </c>
      <c r="E29" s="224"/>
      <c r="F29" s="224"/>
      <c r="G29" s="223"/>
      <c r="H29" s="223"/>
      <c r="I29" s="223"/>
      <c r="J29" s="613"/>
      <c r="K29" s="614"/>
      <c r="L29" s="225"/>
      <c r="M29" s="392"/>
      <c r="N29" s="387"/>
      <c r="O29" s="387"/>
      <c r="P29" s="387"/>
      <c r="Q29" s="387"/>
      <c r="R29" s="387"/>
      <c r="S29" s="387"/>
      <c r="T29" s="387"/>
      <c r="U29" s="387"/>
      <c r="V29" s="191"/>
      <c r="W29" s="387"/>
      <c r="X29" s="164" t="s">
        <v>239</v>
      </c>
      <c r="Y29" s="164"/>
      <c r="Z29" s="164"/>
      <c r="AA29" s="387"/>
      <c r="AB29" s="387"/>
      <c r="AC29" s="387"/>
      <c r="AD29" s="387"/>
      <c r="AE29" s="387"/>
      <c r="AF29" s="387"/>
      <c r="AG29" s="387"/>
      <c r="AH29" s="387"/>
      <c r="AI29" s="387"/>
      <c r="AJ29" s="387"/>
      <c r="AK29" s="387"/>
      <c r="AL29" s="387"/>
    </row>
    <row r="30" spans="1:46" s="403" customFormat="1" ht="20.100000000000001" customHeight="1" x14ac:dyDescent="0.25">
      <c r="A30" s="426" t="s">
        <v>130</v>
      </c>
      <c r="B30" s="14"/>
      <c r="C30" s="146"/>
      <c r="D30" s="540"/>
      <c r="E30" s="540"/>
      <c r="F30" s="151"/>
      <c r="G30" s="52"/>
      <c r="H30" s="427">
        <f t="shared" ref="H30:H35" si="0">DATE(YEAR(G30),(MONTH(G30)+I30),DAY(G30))</f>
        <v>0</v>
      </c>
      <c r="I30" s="428"/>
      <c r="J30" s="55"/>
      <c r="K30" s="18"/>
      <c r="L30" s="428"/>
      <c r="M30" s="392"/>
      <c r="N30" s="392"/>
      <c r="O30" s="392"/>
      <c r="P30" s="392"/>
      <c r="Q30" s="392"/>
      <c r="R30" s="392"/>
      <c r="S30" s="392"/>
      <c r="T30" s="392"/>
      <c r="U30" s="392"/>
      <c r="V30" s="428"/>
      <c r="W30" s="392"/>
      <c r="X30" s="507">
        <f t="shared" ref="X30:X35" si="1">IF(OR(AND(D30&lt;&gt;"",E30&lt;&gt;"",F30&lt;&gt;""),AND(D30&lt;&gt;"",E30&lt;&gt;""),AND(D30&lt;&gt;"",F30&lt;&gt;""),AND(E30&lt;&gt;"",F30&lt;&gt;"")),1,0)</f>
        <v>0</v>
      </c>
      <c r="Y30" s="508"/>
      <c r="Z30" s="232" t="s">
        <v>240</v>
      </c>
      <c r="AA30" s="392"/>
      <c r="AB30" s="392"/>
      <c r="AC30" s="392"/>
      <c r="AD30" s="392"/>
      <c r="AE30" s="392"/>
      <c r="AF30" s="392"/>
      <c r="AG30" s="392"/>
      <c r="AH30" s="392"/>
      <c r="AI30" s="392"/>
      <c r="AJ30" s="392"/>
      <c r="AK30" s="392"/>
      <c r="AL30" s="392"/>
    </row>
    <row r="31" spans="1:46" s="403" customFormat="1" ht="20.100000000000001" customHeight="1" x14ac:dyDescent="0.25">
      <c r="A31" s="429" t="s">
        <v>131</v>
      </c>
      <c r="B31" s="14"/>
      <c r="C31" s="146"/>
      <c r="D31" s="541"/>
      <c r="E31" s="540"/>
      <c r="F31" s="541"/>
      <c r="G31" s="52"/>
      <c r="H31" s="427">
        <f t="shared" si="0"/>
        <v>0</v>
      </c>
      <c r="I31" s="428"/>
      <c r="J31" s="55"/>
      <c r="K31" s="18"/>
      <c r="L31" s="428"/>
      <c r="M31" s="392"/>
      <c r="N31" s="392"/>
      <c r="O31" s="392"/>
      <c r="P31" s="392"/>
      <c r="Q31" s="392"/>
      <c r="R31" s="392"/>
      <c r="S31" s="392"/>
      <c r="T31" s="392"/>
      <c r="U31" s="392"/>
      <c r="V31" s="428"/>
      <c r="W31" s="392"/>
      <c r="X31" s="507">
        <f>IF(OR(AND(D31&lt;&gt;"",E31&lt;&gt;"",F31&lt;&gt;""),AND(D31&lt;&gt;"",E31&lt;&gt;""),AND(D31&lt;&gt;"",F31&lt;&gt;""),AND(E31&lt;&gt;"",F31&lt;&gt;"")),1,0)</f>
        <v>0</v>
      </c>
      <c r="Y31" s="508"/>
      <c r="Z31" s="508" t="s">
        <v>241</v>
      </c>
      <c r="AA31" s="392"/>
      <c r="AB31" s="392"/>
      <c r="AC31" s="392"/>
      <c r="AD31" s="392"/>
      <c r="AE31" s="392"/>
      <c r="AF31" s="392"/>
      <c r="AG31" s="392"/>
      <c r="AH31" s="392"/>
      <c r="AI31" s="392"/>
      <c r="AJ31" s="392"/>
      <c r="AK31" s="392"/>
      <c r="AL31" s="392"/>
    </row>
    <row r="32" spans="1:46" s="403" customFormat="1" ht="20.100000000000001" customHeight="1" x14ac:dyDescent="0.25">
      <c r="A32" s="429" t="s">
        <v>132</v>
      </c>
      <c r="B32" s="19"/>
      <c r="C32" s="146"/>
      <c r="D32" s="541"/>
      <c r="E32" s="541"/>
      <c r="F32" s="541"/>
      <c r="G32" s="52"/>
      <c r="H32" s="427">
        <f t="shared" si="0"/>
        <v>0</v>
      </c>
      <c r="I32" s="428"/>
      <c r="J32" s="55"/>
      <c r="K32" s="18"/>
      <c r="L32" s="428"/>
      <c r="M32" s="392"/>
      <c r="N32" s="392"/>
      <c r="O32" s="392"/>
      <c r="P32" s="392"/>
      <c r="Q32" s="392"/>
      <c r="R32" s="392"/>
      <c r="S32" s="392"/>
      <c r="T32" s="392"/>
      <c r="U32" s="392"/>
      <c r="V32" s="428"/>
      <c r="W32" s="392"/>
      <c r="X32" s="507">
        <f>IF(OR(AND(D32&lt;&gt;"",E32&lt;&gt;"",F32&lt;&gt;""),AND(D32&lt;&gt;"",E32&lt;&gt;""),AND(D32&lt;&gt;"",F32&lt;&gt;""),AND(E32&lt;&gt;"",F32&lt;&gt;"")),1,0)</f>
        <v>0</v>
      </c>
      <c r="Y32" s="508"/>
      <c r="Z32" s="232"/>
      <c r="AA32" s="392"/>
      <c r="AB32" s="392"/>
      <c r="AC32" s="392"/>
      <c r="AD32" s="392"/>
      <c r="AE32" s="392"/>
      <c r="AF32" s="392"/>
      <c r="AG32" s="392"/>
      <c r="AH32" s="392"/>
      <c r="AI32" s="392"/>
      <c r="AJ32" s="392"/>
      <c r="AK32" s="392"/>
      <c r="AL32" s="392"/>
    </row>
    <row r="33" spans="1:43" s="403" customFormat="1" ht="20.100000000000001" customHeight="1" x14ac:dyDescent="0.25">
      <c r="A33" s="429" t="s">
        <v>133</v>
      </c>
      <c r="B33" s="19"/>
      <c r="C33" s="146"/>
      <c r="D33" s="541"/>
      <c r="E33" s="541"/>
      <c r="F33" s="541"/>
      <c r="G33" s="52"/>
      <c r="H33" s="427">
        <f t="shared" si="0"/>
        <v>0</v>
      </c>
      <c r="I33" s="428"/>
      <c r="J33" s="55"/>
      <c r="K33" s="18"/>
      <c r="L33" s="428"/>
      <c r="M33" s="392"/>
      <c r="N33" s="392"/>
      <c r="O33" s="392"/>
      <c r="P33" s="392"/>
      <c r="Q33" s="392"/>
      <c r="R33" s="392"/>
      <c r="S33" s="392"/>
      <c r="T33" s="392"/>
      <c r="U33" s="392"/>
      <c r="V33" s="428"/>
      <c r="W33" s="392"/>
      <c r="X33" s="507">
        <f t="shared" si="1"/>
        <v>0</v>
      </c>
      <c r="Y33" s="508"/>
      <c r="Z33" s="232"/>
      <c r="AA33" s="392"/>
      <c r="AB33" s="392"/>
      <c r="AC33" s="392"/>
      <c r="AD33" s="392"/>
      <c r="AE33" s="392"/>
      <c r="AF33" s="392"/>
      <c r="AG33" s="392"/>
      <c r="AH33" s="392"/>
      <c r="AI33" s="392"/>
      <c r="AJ33" s="392"/>
      <c r="AK33" s="392"/>
      <c r="AL33" s="392"/>
    </row>
    <row r="34" spans="1:43" s="403" customFormat="1" ht="20.100000000000001" customHeight="1" x14ac:dyDescent="0.25">
      <c r="A34" s="429" t="s">
        <v>134</v>
      </c>
      <c r="B34" s="19"/>
      <c r="C34" s="146"/>
      <c r="D34" s="541"/>
      <c r="E34" s="541"/>
      <c r="F34" s="541"/>
      <c r="G34" s="52"/>
      <c r="H34" s="427">
        <f t="shared" si="0"/>
        <v>0</v>
      </c>
      <c r="I34" s="428"/>
      <c r="J34" s="55"/>
      <c r="K34" s="18"/>
      <c r="L34" s="430"/>
      <c r="M34" s="392"/>
      <c r="N34" s="392"/>
      <c r="O34" s="392"/>
      <c r="P34" s="392"/>
      <c r="Q34" s="392"/>
      <c r="R34" s="392"/>
      <c r="S34" s="392"/>
      <c r="T34" s="392"/>
      <c r="U34" s="392"/>
      <c r="V34" s="428"/>
      <c r="W34" s="392"/>
      <c r="X34" s="507">
        <f t="shared" si="1"/>
        <v>0</v>
      </c>
      <c r="Y34" s="508"/>
      <c r="Z34" s="232"/>
      <c r="AA34" s="392"/>
      <c r="AB34" s="392"/>
      <c r="AC34" s="392"/>
      <c r="AD34" s="392"/>
      <c r="AE34" s="392"/>
      <c r="AF34" s="392"/>
      <c r="AG34" s="392"/>
      <c r="AH34" s="392"/>
      <c r="AI34" s="392"/>
      <c r="AJ34" s="392"/>
      <c r="AK34" s="392"/>
      <c r="AL34" s="392"/>
    </row>
    <row r="35" spans="1:43" s="403" customFormat="1" ht="20.100000000000001" customHeight="1" thickBot="1" x14ac:dyDescent="0.3">
      <c r="A35" s="429" t="s">
        <v>135</v>
      </c>
      <c r="B35" s="19"/>
      <c r="C35" s="146"/>
      <c r="D35" s="541"/>
      <c r="E35" s="541"/>
      <c r="F35" s="541"/>
      <c r="G35" s="431"/>
      <c r="H35" s="427">
        <f t="shared" si="0"/>
        <v>0</v>
      </c>
      <c r="I35" s="428"/>
      <c r="J35" s="55"/>
      <c r="K35" s="18"/>
      <c r="L35" s="430"/>
      <c r="M35" s="392"/>
      <c r="N35" s="392"/>
      <c r="O35" s="392"/>
      <c r="P35" s="392"/>
      <c r="Q35" s="392"/>
      <c r="R35" s="392"/>
      <c r="S35" s="392"/>
      <c r="T35" s="392"/>
      <c r="U35" s="392"/>
      <c r="V35" s="428"/>
      <c r="W35" s="392"/>
      <c r="X35" s="507">
        <f t="shared" si="1"/>
        <v>0</v>
      </c>
      <c r="Y35" s="508"/>
      <c r="Z35" s="232"/>
      <c r="AA35" s="392"/>
      <c r="AB35" s="392"/>
      <c r="AC35" s="392"/>
      <c r="AD35" s="392"/>
      <c r="AE35" s="392"/>
      <c r="AF35" s="392"/>
      <c r="AG35" s="392"/>
      <c r="AH35" s="392"/>
      <c r="AI35" s="392"/>
      <c r="AJ35" s="392"/>
      <c r="AK35" s="392"/>
      <c r="AL35" s="392"/>
    </row>
    <row r="36" spans="1:43" s="396" customFormat="1" ht="20.100000000000001" customHeight="1" thickBot="1" x14ac:dyDescent="0.3">
      <c r="B36" s="432" t="s">
        <v>136</v>
      </c>
      <c r="C36" s="182">
        <f>SUM(C29:C35)</f>
        <v>0</v>
      </c>
      <c r="D36" s="182">
        <f>SUM(D30:D35)</f>
        <v>0</v>
      </c>
      <c r="E36" s="152">
        <f>SUM(E30:E35)</f>
        <v>0</v>
      </c>
      <c r="F36" s="152">
        <f>SUM(F30:F35)</f>
        <v>0</v>
      </c>
      <c r="G36" s="433"/>
      <c r="H36" s="433"/>
      <c r="I36" s="433"/>
      <c r="J36" s="433"/>
      <c r="K36" s="434"/>
      <c r="L36" s="392"/>
      <c r="M36" s="392"/>
      <c r="N36" s="392"/>
      <c r="O36" s="392"/>
      <c r="P36" s="392"/>
      <c r="Q36" s="392"/>
      <c r="R36" s="392"/>
      <c r="S36" s="392"/>
      <c r="T36" s="392"/>
      <c r="U36" s="392"/>
      <c r="V36" s="392"/>
      <c r="W36" s="392"/>
      <c r="X36" s="392"/>
      <c r="Y36" s="392"/>
      <c r="Z36" s="392"/>
      <c r="AA36" s="392"/>
      <c r="AB36" s="392"/>
      <c r="AC36" s="392"/>
      <c r="AD36" s="392"/>
      <c r="AE36" s="392"/>
      <c r="AF36" s="392"/>
      <c r="AG36" s="392"/>
      <c r="AH36" s="392"/>
      <c r="AI36" s="392"/>
      <c r="AJ36" s="392"/>
      <c r="AK36" s="392"/>
      <c r="AL36" s="435"/>
    </row>
    <row r="37" spans="1:43" s="396" customFormat="1" x14ac:dyDescent="0.25">
      <c r="D37" s="436"/>
      <c r="H37" s="437"/>
      <c r="I37" s="437"/>
      <c r="J37" s="435"/>
      <c r="K37" s="392"/>
      <c r="L37" s="392"/>
      <c r="M37" s="392"/>
      <c r="N37" s="392"/>
      <c r="O37" s="392"/>
      <c r="P37" s="392"/>
      <c r="Q37" s="392"/>
      <c r="R37" s="392"/>
      <c r="S37" s="392"/>
      <c r="T37" s="392"/>
      <c r="U37" s="392"/>
      <c r="V37" s="392"/>
      <c r="W37" s="392"/>
      <c r="X37" s="392"/>
      <c r="Y37" s="392"/>
      <c r="Z37" s="392"/>
      <c r="AA37" s="392"/>
      <c r="AB37" s="392"/>
      <c r="AC37" s="392"/>
      <c r="AD37" s="392"/>
      <c r="AE37" s="392"/>
      <c r="AF37" s="392"/>
      <c r="AG37" s="392"/>
      <c r="AH37" s="392"/>
      <c r="AI37" s="392"/>
      <c r="AJ37" s="392"/>
      <c r="AK37" s="435"/>
    </row>
    <row r="38" spans="1:43" s="499" customFormat="1" ht="23.25" customHeight="1" x14ac:dyDescent="0.25">
      <c r="A38" s="615" t="s">
        <v>261</v>
      </c>
      <c r="B38" s="638"/>
      <c r="C38" s="639"/>
      <c r="D38" s="639"/>
      <c r="E38" s="639"/>
      <c r="F38" s="639"/>
      <c r="G38" s="639"/>
      <c r="H38" s="639"/>
      <c r="I38" s="639"/>
      <c r="J38" s="639"/>
      <c r="K38" s="639"/>
      <c r="L38" s="640"/>
      <c r="M38" s="330"/>
      <c r="N38" s="330"/>
      <c r="O38" s="330"/>
      <c r="P38" s="497"/>
      <c r="Q38" s="497"/>
      <c r="R38" s="497"/>
      <c r="S38" s="498"/>
      <c r="T38" s="498"/>
      <c r="U38" s="498"/>
      <c r="V38" s="498"/>
      <c r="W38" s="498"/>
      <c r="X38" s="498"/>
    </row>
    <row r="39" spans="1:43" s="499" customFormat="1" ht="23.25" customHeight="1" x14ac:dyDescent="0.25">
      <c r="A39" s="615"/>
      <c r="B39" s="641"/>
      <c r="C39" s="642"/>
      <c r="D39" s="642"/>
      <c r="E39" s="642"/>
      <c r="F39" s="642"/>
      <c r="G39" s="642"/>
      <c r="H39" s="642"/>
      <c r="I39" s="642"/>
      <c r="J39" s="642"/>
      <c r="K39" s="642"/>
      <c r="L39" s="643"/>
      <c r="M39" s="330"/>
      <c r="N39" s="330"/>
      <c r="O39" s="330"/>
      <c r="P39" s="497"/>
      <c r="Q39" s="497"/>
      <c r="R39" s="497"/>
      <c r="S39" s="498"/>
      <c r="T39" s="498"/>
      <c r="U39" s="498"/>
      <c r="V39" s="498"/>
      <c r="W39" s="498"/>
      <c r="X39" s="498"/>
    </row>
    <row r="40" spans="1:43" s="403" customFormat="1" x14ac:dyDescent="0.25">
      <c r="A40" s="438"/>
      <c r="B40" s="439"/>
      <c r="C40" s="439"/>
      <c r="D40" s="439"/>
      <c r="E40" s="439"/>
      <c r="F40" s="439"/>
      <c r="G40" s="439"/>
      <c r="H40"/>
      <c r="I40"/>
      <c r="J40" s="439"/>
      <c r="K40" s="439"/>
      <c r="L40" s="392"/>
      <c r="M40" s="392"/>
      <c r="N40" s="392"/>
      <c r="O40" s="392"/>
      <c r="P40" s="392"/>
      <c r="Q40" s="392"/>
      <c r="R40" s="392"/>
      <c r="S40" s="392"/>
      <c r="T40" s="392"/>
      <c r="U40" s="392"/>
      <c r="V40" s="392"/>
      <c r="W40" s="392"/>
      <c r="X40" s="392"/>
      <c r="Y40" s="392"/>
      <c r="Z40" s="392"/>
      <c r="AA40" s="392"/>
      <c r="AB40" s="392"/>
      <c r="AC40" s="392"/>
      <c r="AD40" s="392"/>
      <c r="AE40" s="392"/>
      <c r="AF40" s="392"/>
      <c r="AG40" s="392"/>
      <c r="AH40" s="392"/>
      <c r="AI40" s="392"/>
      <c r="AJ40" s="392"/>
      <c r="AK40" s="392"/>
      <c r="AL40" s="392"/>
      <c r="AM40" s="392"/>
      <c r="AN40" s="392"/>
    </row>
    <row r="41" spans="1:43" s="440" customFormat="1" ht="21" customHeight="1" x14ac:dyDescent="0.3">
      <c r="A41" s="455" t="s">
        <v>259</v>
      </c>
      <c r="B41" s="517"/>
      <c r="C41" s="518"/>
      <c r="D41" s="518"/>
      <c r="E41" s="518"/>
      <c r="F41" s="518"/>
      <c r="G41" s="519"/>
      <c r="H41" s="519"/>
      <c r="I41" s="519"/>
      <c r="J41" s="518"/>
      <c r="K41" s="520"/>
      <c r="L41"/>
      <c r="M41" s="385"/>
      <c r="N41" s="385"/>
      <c r="O41" s="385"/>
      <c r="P41" s="385"/>
      <c r="Q41" s="385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  <c r="AC41" s="385"/>
      <c r="AD41" s="385"/>
      <c r="AE41" s="385"/>
      <c r="AF41" s="385"/>
      <c r="AG41" s="385"/>
      <c r="AH41" s="385"/>
      <c r="AI41" s="385"/>
      <c r="AJ41" s="385"/>
      <c r="AK41" s="385"/>
      <c r="AL41" s="385"/>
      <c r="AM41" s="385"/>
      <c r="AN41" s="385"/>
      <c r="AO41" s="385"/>
    </row>
    <row r="42" spans="1:43" s="403" customFormat="1" ht="68.099999999999994" customHeight="1" x14ac:dyDescent="0.25">
      <c r="A42" s="616" t="s">
        <v>137</v>
      </c>
      <c r="B42" s="617"/>
      <c r="C42" s="290" t="str">
        <f>IF($D$36&gt;0,"Montant admissible du supplément de droits de diffusion",
IF(AND($D$36=0,$E$36&gt;0),"Montant admissible de la Contribution","Montant admissible du supplément de droits de diffusion/de la Contribution"))</f>
        <v>Montant admissible du supplément de droits de diffusion/de la Contribution</v>
      </c>
      <c r="D42" s="515" t="s">
        <v>257</v>
      </c>
      <c r="E42" s="336" t="s">
        <v>258</v>
      </c>
      <c r="F42" s="516" t="s">
        <v>138</v>
      </c>
      <c r="G42" s="47" t="s">
        <v>245</v>
      </c>
      <c r="H42" s="47" t="s">
        <v>246</v>
      </c>
      <c r="I42" s="17" t="s">
        <v>247</v>
      </c>
      <c r="J42" s="510" t="s">
        <v>248</v>
      </c>
      <c r="K42" s="271" t="s">
        <v>249</v>
      </c>
      <c r="L42" s="193" t="s">
        <v>139</v>
      </c>
      <c r="M42" s="40"/>
      <c r="O42" s="387"/>
      <c r="S42" s="387"/>
      <c r="T42" s="387"/>
      <c r="U42" s="387"/>
      <c r="V42" s="426" t="s">
        <v>140</v>
      </c>
      <c r="W42" s="426" t="s">
        <v>141</v>
      </c>
      <c r="X42" s="426" t="s">
        <v>142</v>
      </c>
      <c r="Y42" s="387"/>
      <c r="Z42" s="387"/>
      <c r="AA42" s="387"/>
      <c r="AB42" s="387"/>
      <c r="AC42" s="387"/>
      <c r="AD42" s="387"/>
      <c r="AE42" s="387"/>
      <c r="AF42" s="387"/>
      <c r="AG42" s="387"/>
      <c r="AH42" s="387"/>
      <c r="AI42" s="387"/>
      <c r="AJ42" s="387"/>
      <c r="AK42" s="387"/>
      <c r="AL42" s="387"/>
      <c r="AM42" s="387"/>
      <c r="AN42" s="387"/>
      <c r="AO42" s="387"/>
      <c r="AP42" s="387"/>
      <c r="AQ42" s="387"/>
    </row>
    <row r="43" spans="1:43" s="403" customFormat="1" ht="15" customHeight="1" x14ac:dyDescent="0.25">
      <c r="A43" s="441"/>
      <c r="B43" s="546" t="s">
        <v>129</v>
      </c>
      <c r="C43" s="545">
        <f>IF($E$50-(E8*0.25)&lt;100000,E43,IF((E8*0.25)&lt;MIN(E19,F103:F107),ROUND(E8*0.25,0),MIN(E19,F103:F107)))</f>
        <v>0</v>
      </c>
      <c r="D43" s="545">
        <f t="shared" ref="D43:D49" si="2">E43-C43</f>
        <v>0</v>
      </c>
      <c r="E43" s="545">
        <f>IF(MAX(F$103:F$107)&lt;E19,MAX(F$103:F$107),(E19))</f>
        <v>0</v>
      </c>
      <c r="F43" s="170" t="str">
        <f>IF($E$8=0,"",E43/$E$8)</f>
        <v/>
      </c>
      <c r="G43" s="153"/>
      <c r="H43" s="154"/>
      <c r="I43" s="156"/>
      <c r="J43" s="154"/>
      <c r="K43" s="155"/>
      <c r="L43" s="157"/>
      <c r="M43" s="40"/>
      <c r="O43" s="387"/>
      <c r="S43" s="387"/>
      <c r="T43" s="387"/>
      <c r="U43" s="387"/>
      <c r="V43" s="443"/>
      <c r="W43" s="444"/>
      <c r="X43" s="445"/>
      <c r="Y43" s="387"/>
      <c r="Z43" s="387"/>
      <c r="AA43" s="387"/>
      <c r="AB43" s="387"/>
      <c r="AC43" s="387"/>
      <c r="AD43" s="387"/>
      <c r="AE43" s="387"/>
      <c r="AF43" s="387"/>
      <c r="AG43" s="387"/>
      <c r="AH43" s="387"/>
      <c r="AI43" s="387"/>
      <c r="AJ43" s="387"/>
      <c r="AK43" s="387"/>
      <c r="AL43" s="387"/>
      <c r="AM43" s="387"/>
      <c r="AN43" s="387"/>
      <c r="AO43" s="387"/>
      <c r="AP43" s="387"/>
      <c r="AQ43" s="387"/>
    </row>
    <row r="44" spans="1:43" s="403" customFormat="1" ht="15" customHeight="1" x14ac:dyDescent="0.25">
      <c r="A44" s="371" t="s">
        <v>130</v>
      </c>
      <c r="B44" s="442">
        <f>$B$30</f>
        <v>0</v>
      </c>
      <c r="C44" s="545">
        <f t="shared" ref="C44:C49" si="3">IF(($C$50-$C$43)&gt;0,ROUND(E44/($E$50-$E$43)*($C$50-$C$43),0),0)</f>
        <v>0</v>
      </c>
      <c r="D44" s="545">
        <f t="shared" si="2"/>
        <v>0</v>
      </c>
      <c r="E44" s="545">
        <f t="shared" ref="E44:E49" si="4">IF($E$50-E$43=0,0,ROUND(((C30/(C$36-C$29))*($E$50-E$43)),0))</f>
        <v>0</v>
      </c>
      <c r="F44" s="168" t="str">
        <f t="shared" ref="F44:F49" si="5">IF($E$8=0,"",E44/$E$8)</f>
        <v/>
      </c>
      <c r="G44" s="545">
        <f>IF($E$8=0,0,
IF(AND($D30&lt;&gt;"",$X30=0,$H63&lt;&gt;"S/O"),$H63,0))</f>
        <v>0</v>
      </c>
      <c r="H44" s="545">
        <f>IF(OR($E$8=0,$B64="Information manquante"),0,
IF(AND($E30&lt;&gt;"",$X30=0,$H63&lt;&gt;"S/O"),$H63,
IF(AND($E30&lt;&gt;"",$X30=0,$H63="S/O"),$E30,0)))</f>
        <v>0</v>
      </c>
      <c r="I44" s="147" t="s">
        <v>143</v>
      </c>
      <c r="J44" s="545">
        <f t="shared" ref="J44:J49" si="6">N(G44)+N(H44)+N(I44)</f>
        <v>0</v>
      </c>
      <c r="K44" s="144" t="str">
        <f t="shared" ref="K44:K49" si="7">IF($E$8=0,"",(N(H44)+N(I44)+G44)/E$8)</f>
        <v/>
      </c>
      <c r="L44" s="545">
        <f t="shared" ref="L44:L49" si="8">IF(X30=1,0,
N(D30)+N(E30)+N(F30)-J44)</f>
        <v>0</v>
      </c>
      <c r="M44" s="40"/>
      <c r="O44" s="392"/>
      <c r="S44" s="392"/>
      <c r="T44" s="392"/>
      <c r="U44" s="392"/>
      <c r="V44" s="446">
        <f>IF($J$77=4,IF($I$30&lt;60,$I$30,60),IF($I$30&lt;72,$I$30,72))</f>
        <v>0</v>
      </c>
      <c r="W44" s="446">
        <f>$V$30</f>
        <v>0</v>
      </c>
      <c r="X44" s="447" t="s">
        <v>143</v>
      </c>
      <c r="Y44" s="392"/>
      <c r="Z44" s="392"/>
      <c r="AA44" s="392"/>
      <c r="AB44" s="392"/>
      <c r="AC44" s="392"/>
      <c r="AD44" s="392"/>
      <c r="AE44" s="392"/>
      <c r="AF44" s="392"/>
      <c r="AG44" s="392"/>
      <c r="AH44" s="392"/>
      <c r="AI44" s="392"/>
      <c r="AJ44" s="392"/>
      <c r="AK44" s="392"/>
      <c r="AL44" s="392"/>
      <c r="AM44" s="392"/>
      <c r="AN44" s="392"/>
      <c r="AO44" s="392"/>
      <c r="AP44" s="392"/>
      <c r="AQ44" s="392"/>
    </row>
    <row r="45" spans="1:43" s="403" customFormat="1" ht="15" customHeight="1" x14ac:dyDescent="0.25">
      <c r="A45" s="429" t="s">
        <v>131</v>
      </c>
      <c r="B45" s="448">
        <f>$B$31</f>
        <v>0</v>
      </c>
      <c r="C45" s="542">
        <f t="shared" si="3"/>
        <v>0</v>
      </c>
      <c r="D45" s="542">
        <f t="shared" si="2"/>
        <v>0</v>
      </c>
      <c r="E45" s="542">
        <f t="shared" si="4"/>
        <v>0</v>
      </c>
      <c r="F45" s="168" t="str">
        <f t="shared" si="5"/>
        <v/>
      </c>
      <c r="G45" s="542">
        <f>IF($E$8=0,0,
IF(AND($D31&lt;&gt;"",$X31=0,$H65&lt;&gt;"S/O"),$H65,0))</f>
        <v>0</v>
      </c>
      <c r="H45" s="542">
        <f>IF(OR($E$8=0,$B66="Information manquante"),0,
IF(AND($E31&lt;&gt;"",$X31=0,$H65&lt;&gt;"S/O"),$H65,
IF(AND($E31&lt;&gt;"",$X31=0,$H65="S/O"),$E31,0)))</f>
        <v>0</v>
      </c>
      <c r="I45" s="542">
        <f>IF($I$50&gt;0,MIN(F31,(F31/$F$36)*I$50),0)</f>
        <v>0</v>
      </c>
      <c r="J45" s="542">
        <f t="shared" si="6"/>
        <v>0</v>
      </c>
      <c r="K45" s="144" t="str">
        <f t="shared" si="7"/>
        <v/>
      </c>
      <c r="L45" s="542">
        <f t="shared" si="8"/>
        <v>0</v>
      </c>
      <c r="M45" s="40"/>
      <c r="O45" s="392"/>
      <c r="S45" s="392"/>
      <c r="T45" s="392"/>
      <c r="U45" s="392"/>
      <c r="V45" s="446">
        <f>IF($I$31=0,0,IF($I$31&lt;$F$65,$I$31,$F$65))</f>
        <v>0</v>
      </c>
      <c r="W45" s="446">
        <f>$V$31</f>
        <v>0</v>
      </c>
      <c r="X45" s="449">
        <f>IF($G$31&gt;DATE(YEAR($G$30),MONTH($G$30)+$W$44,DAY($G$30)),$G$31,DATE(YEAR($G$30),MONTH($G$30)+$W$44,DAY($G$30)))</f>
        <v>0</v>
      </c>
      <c r="Y45" s="392"/>
      <c r="Z45" s="392"/>
      <c r="AA45" s="392"/>
      <c r="AB45" s="392"/>
      <c r="AC45" s="392"/>
      <c r="AD45" s="392"/>
      <c r="AE45" s="392"/>
      <c r="AF45" s="392"/>
      <c r="AG45" s="392"/>
      <c r="AH45" s="392"/>
      <c r="AI45" s="392"/>
      <c r="AJ45" s="392"/>
      <c r="AK45" s="392"/>
      <c r="AL45" s="392"/>
      <c r="AM45" s="392"/>
      <c r="AN45" s="392"/>
      <c r="AO45" s="392"/>
      <c r="AP45" s="392"/>
      <c r="AQ45" s="392"/>
    </row>
    <row r="46" spans="1:43" s="403" customFormat="1" ht="15" customHeight="1" x14ac:dyDescent="0.25">
      <c r="A46" s="429" t="s">
        <v>132</v>
      </c>
      <c r="B46" s="448">
        <f>$B$32</f>
        <v>0</v>
      </c>
      <c r="C46" s="542">
        <f t="shared" si="3"/>
        <v>0</v>
      </c>
      <c r="D46" s="542">
        <f t="shared" si="2"/>
        <v>0</v>
      </c>
      <c r="E46" s="542">
        <f t="shared" si="4"/>
        <v>0</v>
      </c>
      <c r="F46" s="168" t="str">
        <f t="shared" si="5"/>
        <v/>
      </c>
      <c r="G46" s="542">
        <f>IF($E$8=0,0,
IF(AND($D32&lt;&gt;"",$X32=0,$H67&lt;&gt;"S/O"),$H67,0))</f>
        <v>0</v>
      </c>
      <c r="H46" s="542">
        <f>IF(OR($E$8=0,$B68="Information manquante"),0,
IF(AND($E32&lt;&gt;"",$X32=0,$H67&lt;&gt;"S/O"),$H67,
IF(AND($E32&lt;&gt;"",$X32=0,$H67="S/O"),$E32,0)))</f>
        <v>0</v>
      </c>
      <c r="I46" s="542">
        <f>IF($I$50&gt;0,MIN(F32,(F32/$F$36)*I$50),0)</f>
        <v>0</v>
      </c>
      <c r="J46" s="542">
        <f t="shared" si="6"/>
        <v>0</v>
      </c>
      <c r="K46" s="144" t="str">
        <f t="shared" si="7"/>
        <v/>
      </c>
      <c r="L46" s="542">
        <f t="shared" si="8"/>
        <v>0</v>
      </c>
      <c r="M46" s="40"/>
      <c r="O46" s="392"/>
      <c r="S46" s="392"/>
      <c r="T46" s="392"/>
      <c r="U46" s="392"/>
      <c r="V46" s="446">
        <f>IF($I$32=0,0,IF($I$32&lt;F67,$I$32,$F$67))</f>
        <v>0</v>
      </c>
      <c r="W46" s="446">
        <f>$V$32</f>
        <v>0</v>
      </c>
      <c r="X46" s="449">
        <f>IF($G$32&gt;DATE(YEAR($G$30),MONTH($G$30)+$W$45,DAY($G$30)),$G$32,DATE(YEAR($G$30),MONTH($G$30)+$W$45,DAY($G$30)))</f>
        <v>0</v>
      </c>
      <c r="Y46" s="392"/>
      <c r="Z46" s="392"/>
      <c r="AA46" s="392"/>
      <c r="AB46" s="392"/>
      <c r="AC46" s="392"/>
      <c r="AD46" s="392"/>
      <c r="AE46" s="392"/>
      <c r="AF46" s="392"/>
      <c r="AG46" s="392"/>
      <c r="AH46" s="392"/>
      <c r="AI46" s="392"/>
      <c r="AJ46" s="392"/>
      <c r="AK46" s="392"/>
      <c r="AL46" s="392"/>
      <c r="AM46" s="392"/>
      <c r="AN46" s="392"/>
      <c r="AO46" s="392"/>
      <c r="AP46" s="392"/>
      <c r="AQ46" s="392"/>
    </row>
    <row r="47" spans="1:43" s="403" customFormat="1" ht="15" customHeight="1" x14ac:dyDescent="0.25">
      <c r="A47" s="429" t="s">
        <v>133</v>
      </c>
      <c r="B47" s="448">
        <f>$B$33</f>
        <v>0</v>
      </c>
      <c r="C47" s="542">
        <f t="shared" si="3"/>
        <v>0</v>
      </c>
      <c r="D47" s="542">
        <f t="shared" si="2"/>
        <v>0</v>
      </c>
      <c r="E47" s="542">
        <f t="shared" si="4"/>
        <v>0</v>
      </c>
      <c r="F47" s="168" t="str">
        <f t="shared" si="5"/>
        <v/>
      </c>
      <c r="G47" s="542">
        <f>IF($E$8=0,0,
IF(AND($D33&lt;&gt;"",$X33=0,$H69&lt;&gt;"S/O"),$H69,0))</f>
        <v>0</v>
      </c>
      <c r="H47" s="542">
        <f>IF(OR($E$8=0,$B70="Information manquante"),0,
IF(AND($E33&lt;&gt;"",$X33=0,$H69&lt;&gt;"S/O"),$H69,
IF(AND($E33&lt;&gt;"",$X33=0,$H69="S/O"),$E33,0)))</f>
        <v>0</v>
      </c>
      <c r="I47" s="542">
        <f>IF($I$50&gt;0,MIN(F33,(F33/$F$36)*I$50),0)</f>
        <v>0</v>
      </c>
      <c r="J47" s="542">
        <f t="shared" si="6"/>
        <v>0</v>
      </c>
      <c r="K47" s="144" t="str">
        <f t="shared" si="7"/>
        <v/>
      </c>
      <c r="L47" s="542">
        <f t="shared" si="8"/>
        <v>0</v>
      </c>
      <c r="M47" s="40"/>
      <c r="O47" s="392"/>
      <c r="S47" s="392"/>
      <c r="T47" s="392"/>
      <c r="U47" s="392"/>
      <c r="V47" s="446">
        <f>IF($I$33=0,0,IF($I$33&lt;F69,$I$33,$F$69))</f>
        <v>0</v>
      </c>
      <c r="W47" s="446">
        <f>$V$33</f>
        <v>0</v>
      </c>
      <c r="X47" s="449">
        <f>IF($G$33&gt;DATE(YEAR($G$30),MONTH($G$30)+$W$46,DAY($G$30)),$G$33,DATE(YEAR($G$30),MONTH($G$30)+$W$46,DAY($G$30)))</f>
        <v>0</v>
      </c>
      <c r="Y47" s="392"/>
      <c r="Z47" s="392"/>
      <c r="AA47" s="392"/>
      <c r="AB47" s="392"/>
      <c r="AC47" s="392"/>
      <c r="AD47" s="392"/>
      <c r="AE47" s="392"/>
      <c r="AF47" s="392"/>
      <c r="AG47" s="392"/>
      <c r="AH47" s="392"/>
      <c r="AI47" s="392"/>
      <c r="AJ47" s="392"/>
      <c r="AK47" s="392"/>
      <c r="AL47" s="392"/>
      <c r="AM47" s="392"/>
      <c r="AN47" s="392"/>
      <c r="AO47" s="392"/>
      <c r="AP47" s="392"/>
      <c r="AQ47" s="392"/>
    </row>
    <row r="48" spans="1:43" s="403" customFormat="1" ht="15" customHeight="1" x14ac:dyDescent="0.25">
      <c r="A48" s="429" t="s">
        <v>134</v>
      </c>
      <c r="B48" s="448">
        <f>$B$34</f>
        <v>0</v>
      </c>
      <c r="C48" s="542">
        <f t="shared" si="3"/>
        <v>0</v>
      </c>
      <c r="D48" s="542">
        <f t="shared" si="2"/>
        <v>0</v>
      </c>
      <c r="E48" s="542">
        <f t="shared" si="4"/>
        <v>0</v>
      </c>
      <c r="F48" s="168" t="str">
        <f t="shared" si="5"/>
        <v/>
      </c>
      <c r="G48" s="542">
        <f>IF($E$8=0,0,
IF(AND($D34&lt;&gt;"",$X34=0,$H71&lt;&gt;"S/O"),$H71,0))</f>
        <v>0</v>
      </c>
      <c r="H48" s="542">
        <f>IF(OR($E$8=0,$B72="Information manquante"),0,
IF(AND($E34&lt;&gt;"",$X34=0,$H71&lt;&gt;"S/O"),$H71,
IF(AND($E34&lt;&gt;"",$X34=0,$H71="S/O"),$E34,0)))</f>
        <v>0</v>
      </c>
      <c r="I48" s="542">
        <f>IF($I$50&gt;0,MIN(F34,(F34/$F$36)*I$50),0)</f>
        <v>0</v>
      </c>
      <c r="J48" s="542">
        <f t="shared" si="6"/>
        <v>0</v>
      </c>
      <c r="K48" s="144" t="str">
        <f t="shared" si="7"/>
        <v/>
      </c>
      <c r="L48" s="542">
        <f t="shared" si="8"/>
        <v>0</v>
      </c>
      <c r="M48" s="40"/>
      <c r="O48" s="392"/>
      <c r="S48" s="392"/>
      <c r="T48" s="392"/>
      <c r="U48" s="392"/>
      <c r="V48" s="446">
        <f>IF($I$34=0,0,IF($I$34&lt;$F$71,$I$34,$F$71))</f>
        <v>0</v>
      </c>
      <c r="W48" s="446">
        <f>$V$34</f>
        <v>0</v>
      </c>
      <c r="X48" s="449">
        <f>IF($G$34&gt;DATE(YEAR($G$30),MONTH($G$30)+$W$47,DAY($G$30)),$G$34,DATE(YEAR($G$30),MONTH($G$30)+$W$47,DAY($G$30)))</f>
        <v>0</v>
      </c>
      <c r="Y48" s="392"/>
      <c r="Z48" s="392"/>
      <c r="AA48" s="392"/>
      <c r="AB48" s="392"/>
      <c r="AC48" s="392"/>
      <c r="AD48" s="392"/>
      <c r="AE48" s="392"/>
      <c r="AF48" s="392"/>
      <c r="AG48" s="392"/>
      <c r="AH48" s="392"/>
      <c r="AI48" s="392"/>
      <c r="AJ48" s="392"/>
      <c r="AK48" s="392"/>
      <c r="AL48" s="392"/>
      <c r="AM48" s="392"/>
      <c r="AN48" s="392"/>
      <c r="AO48" s="392"/>
      <c r="AP48" s="392"/>
      <c r="AQ48" s="392"/>
    </row>
    <row r="49" spans="1:43" s="403" customFormat="1" ht="15" customHeight="1" thickBot="1" x14ac:dyDescent="0.3">
      <c r="A49" s="426" t="s">
        <v>135</v>
      </c>
      <c r="B49" s="448">
        <f>$B$35</f>
        <v>0</v>
      </c>
      <c r="C49" s="543">
        <f t="shared" si="3"/>
        <v>0</v>
      </c>
      <c r="D49" s="543">
        <f t="shared" si="2"/>
        <v>0</v>
      </c>
      <c r="E49" s="543">
        <f t="shared" si="4"/>
        <v>0</v>
      </c>
      <c r="F49" s="168" t="str">
        <f t="shared" si="5"/>
        <v/>
      </c>
      <c r="G49" s="543">
        <f>IF($E$8=0,0,
IF(AND($D35&lt;&gt;"",$X35=0,$H73&lt;&gt;"S/O"),$H73,0))</f>
        <v>0</v>
      </c>
      <c r="H49" s="543">
        <f>IF(OR($E$8=0,$B74="Information manquante"),0,
IF(AND($E35&lt;&gt;"",$X35=0,$H73&lt;&gt;"S/O"),$H73,
IF(AND($E35&lt;&gt;"",$X35=0,$H73="S/O"),$E35,0)))</f>
        <v>0</v>
      </c>
      <c r="I49" s="543">
        <f>IF($I$50&gt;0,MIN(F35,(F35/$F$36)*I$50),0)</f>
        <v>0</v>
      </c>
      <c r="J49" s="543">
        <f t="shared" si="6"/>
        <v>0</v>
      </c>
      <c r="K49" s="144" t="str">
        <f t="shared" si="7"/>
        <v/>
      </c>
      <c r="L49" s="543">
        <f t="shared" si="8"/>
        <v>0</v>
      </c>
      <c r="M49" s="40"/>
      <c r="O49" s="392"/>
      <c r="S49" s="392"/>
      <c r="T49" s="392"/>
      <c r="U49" s="392"/>
      <c r="V49" s="446">
        <f>IF($I$35=0,0,IF($I$35&lt;$F$73,$I$35,$F$73))</f>
        <v>0</v>
      </c>
      <c r="W49" s="446">
        <f>$V$35</f>
        <v>0</v>
      </c>
      <c r="X49" s="449">
        <f>IF($G$35&gt;DATE(YEAR($G$30),MONTH($G$30)+$W$48,DAY($G$30)),$G$35,DATE(YEAR($G$30),MONTH($G$30)+$W$48,DAY($G$30)))</f>
        <v>0</v>
      </c>
      <c r="Y49" s="392"/>
      <c r="Z49" s="392"/>
      <c r="AA49" s="392"/>
      <c r="AB49" s="392"/>
      <c r="AC49" s="392"/>
      <c r="AD49" s="392"/>
      <c r="AE49" s="392"/>
      <c r="AF49" s="392"/>
      <c r="AG49" s="392"/>
      <c r="AH49" s="392"/>
      <c r="AI49" s="392"/>
      <c r="AJ49" s="392"/>
      <c r="AK49" s="392"/>
      <c r="AL49" s="392"/>
      <c r="AM49" s="392"/>
      <c r="AN49" s="392"/>
      <c r="AO49" s="392"/>
      <c r="AP49" s="392"/>
      <c r="AQ49" s="392"/>
    </row>
    <row r="50" spans="1:43" s="403" customFormat="1" ht="20.100000000000001" customHeight="1" thickBot="1" x14ac:dyDescent="0.3">
      <c r="A50" s="33"/>
      <c r="B50" s="180" t="s">
        <v>144</v>
      </c>
      <c r="C50" s="544">
        <f>IF($E$50-($E$8*0.25)&lt;100000,$E$50,IF(($E$8*0.25)&lt;$E$50,ROUND($E$8*0.25,0),$E$50))</f>
        <v>0</v>
      </c>
      <c r="D50" s="544">
        <f>E50-C50</f>
        <v>0</v>
      </c>
      <c r="E50" s="544">
        <f>IF(MAX(N($C$103),N($C$105),N($C$107))&lt;($C$36+IF($X$11="Oui",N($Y$12),0)),MIN($E$8*$F$10,MAX(N($C$103),N($C$105),N($C$107))-$E$43-$X$51,$W$21)+$E$43,MIN(MAX(N($I$103),N($I$105),N($I$107)),$W$21)+$E$43)</f>
        <v>0</v>
      </c>
      <c r="F50" s="169">
        <f>SUM(F43:F49)</f>
        <v>0</v>
      </c>
      <c r="G50" s="544">
        <f>SUM(G44:G49)</f>
        <v>0</v>
      </c>
      <c r="H50" s="544">
        <f>SUM(H44:H49)</f>
        <v>0</v>
      </c>
      <c r="I50" s="544">
        <f>IF($H$50+$G$50=0,0,IF(F$36&lt;=MAX(H79:H87),F$36,MAX(H79:H87)))</f>
        <v>0</v>
      </c>
      <c r="J50" s="544">
        <f>H50+I50+G50</f>
        <v>0</v>
      </c>
      <c r="K50" s="145">
        <f>SUM(K44:K49)</f>
        <v>0</v>
      </c>
      <c r="L50" s="544">
        <f>SUM(L44:L49)</f>
        <v>0</v>
      </c>
      <c r="M50" s="40"/>
      <c r="O50" s="392"/>
      <c r="P50" s="392"/>
      <c r="Q50" s="392"/>
      <c r="R50" s="392"/>
      <c r="S50" s="392"/>
      <c r="T50" s="392"/>
      <c r="U50" s="392"/>
      <c r="V50" s="392"/>
      <c r="W50" s="392"/>
      <c r="X50" s="392"/>
      <c r="Y50" s="392"/>
      <c r="Z50" s="392"/>
      <c r="AA50" s="392"/>
      <c r="AB50" s="392"/>
      <c r="AC50" s="392"/>
      <c r="AD50" s="392"/>
      <c r="AE50" s="392"/>
      <c r="AF50" s="392"/>
      <c r="AG50" s="392"/>
      <c r="AH50" s="392"/>
      <c r="AI50" s="392"/>
      <c r="AJ50" s="392"/>
      <c r="AK50" s="392"/>
      <c r="AL50" s="392"/>
      <c r="AM50" s="392"/>
      <c r="AN50" s="392"/>
    </row>
    <row r="51" spans="1:43" s="403" customFormat="1" ht="20.100000000000001" hidden="1" customHeight="1" thickBot="1" x14ac:dyDescent="0.35">
      <c r="A51" s="33"/>
      <c r="B51" s="180"/>
      <c r="G51" s="165"/>
      <c r="H51" s="181"/>
      <c r="I51" s="202" t="str">
        <f>IF(AND($A$77&lt;7,$A$77&gt;2,G50&gt;0,F36&gt;0,E8&gt;0),"DDA &amp; CMM du distributeur / Exigence seuil:","")</f>
        <v/>
      </c>
      <c r="J51" s="203" t="str">
        <f>IF(AND($A$77&lt;7,$A$77&gt;2,G50&gt;0,F36&gt;0,E8&gt;0),SUM(G50,N(H50))/SUM(N(D79),N(D80),N(D81),N(D82)),"")</f>
        <v/>
      </c>
      <c r="K51" s="165"/>
      <c r="L51" s="167"/>
      <c r="M51" s="166"/>
      <c r="N51" s="450"/>
      <c r="O51" s="392"/>
      <c r="P51" s="392"/>
      <c r="Q51" s="392"/>
      <c r="R51" s="392"/>
      <c r="S51" s="392"/>
      <c r="T51" s="392"/>
      <c r="U51" s="392"/>
      <c r="V51" s="636" t="str">
        <f>IF(OR($X$11&lt;&gt;"Oui",K77&lt;&gt;2),"Mesures incitatives",J82)</f>
        <v>Mesures incitatives</v>
      </c>
      <c r="W51" s="637"/>
      <c r="X51" s="148">
        <f>IF($X$11="oui",MIN(MAX($V$103:$V$107),N($Y$12)),0)</f>
        <v>0</v>
      </c>
      <c r="Y51" s="169" t="str">
        <f>IF(AND($E$8&gt;0,$X$11="oui",$Y$12&gt;0,$K$77=2),$X$51/$E$8,"")</f>
        <v/>
      </c>
      <c r="Z51" s="392"/>
      <c r="AA51" s="392"/>
      <c r="AB51" s="392"/>
      <c r="AC51" s="392"/>
      <c r="AD51" s="392"/>
      <c r="AE51" s="392"/>
      <c r="AF51" s="392"/>
      <c r="AG51" s="392"/>
      <c r="AH51" s="392"/>
      <c r="AI51" s="392"/>
      <c r="AJ51" s="392"/>
      <c r="AK51" s="392"/>
      <c r="AL51" s="392"/>
      <c r="AM51" s="392"/>
      <c r="AN51" s="392"/>
    </row>
    <row r="52" spans="1:43" s="453" customFormat="1" ht="20.100000000000001" customHeight="1" x14ac:dyDescent="0.25">
      <c r="A52" s="521" t="s">
        <v>260</v>
      </c>
      <c r="B52" s="39"/>
      <c r="C52" s="39"/>
      <c r="D52" s="39"/>
      <c r="E52" s="39"/>
      <c r="F52" s="451"/>
      <c r="G52" s="451"/>
      <c r="H52" s="200" t="str">
        <f>IF(AND($A$77&gt;2,$A$77&lt;12,$G$50+$H$50&gt;0,$F$36&gt;0,$E$8&gt;0,SUM(N(D$79),N(D$80),N(D$81),N(D$82),N(D$84),N(D$85),N(D$86),N(D$87))&gt;0),
"DDA + ADA / Exigence seuil:",
"")</f>
        <v/>
      </c>
      <c r="I52" s="201" t="str">
        <f>IF(AND($A$77&gt;2,$A$77&lt;12,$G$50+$H$50&gt;0,$F$36&gt;0,$E$8&gt;0,SUM(N(D$79),N(D$80),N(D$81),N(D$82),N(D$84),N(D$85),N(D$86),N(D$87))&gt;0),
SUM(G$50,H$50)/SUM(N(D$79),N(D$80),N(D$81),N(D$82),N(D$84),N(D$85),N(D$86),N(D$87)),"")</f>
        <v/>
      </c>
      <c r="J52" s="451"/>
      <c r="K52" s="452"/>
      <c r="M52" s="454"/>
      <c r="N52" s="454"/>
      <c r="O52" s="454"/>
      <c r="P52" s="454"/>
      <c r="Q52" s="454"/>
      <c r="R52" s="454"/>
      <c r="S52" s="454"/>
      <c r="T52" s="454"/>
      <c r="U52" s="454"/>
      <c r="V52" s="454"/>
      <c r="W52" s="454"/>
      <c r="X52" s="454"/>
      <c r="Y52" s="454"/>
      <c r="Z52" s="454"/>
      <c r="AA52" s="454"/>
      <c r="AB52" s="454"/>
      <c r="AC52" s="454"/>
      <c r="AD52" s="454"/>
      <c r="AE52" s="454"/>
      <c r="AF52" s="454"/>
      <c r="AG52" s="454"/>
      <c r="AH52" s="454"/>
      <c r="AI52" s="454"/>
      <c r="AJ52" s="454"/>
      <c r="AK52" s="454"/>
      <c r="AL52" s="454"/>
      <c r="AM52" s="454"/>
      <c r="AN52" s="454"/>
      <c r="AO52" s="454"/>
    </row>
    <row r="53" spans="1:43" s="453" customFormat="1" ht="20.100000000000001" hidden="1" customHeight="1" x14ac:dyDescent="0.25">
      <c r="A53" s="521"/>
      <c r="B53" s="39"/>
      <c r="C53" s="39"/>
      <c r="D53" s="39"/>
      <c r="E53" s="39"/>
      <c r="F53" s="451"/>
      <c r="G53" s="451"/>
      <c r="H53" s="451"/>
      <c r="I53" s="451"/>
      <c r="J53" s="451"/>
      <c r="K53" s="452"/>
      <c r="M53" s="454"/>
      <c r="N53" s="454"/>
      <c r="O53" s="454"/>
      <c r="P53" s="454"/>
      <c r="Q53" s="454"/>
      <c r="R53" s="454"/>
      <c r="S53" s="454"/>
      <c r="T53" s="454"/>
      <c r="U53" s="454"/>
      <c r="V53" s="454"/>
      <c r="W53" s="454"/>
      <c r="X53" s="454"/>
      <c r="Y53" s="454"/>
      <c r="Z53" s="454"/>
      <c r="AA53" s="454"/>
      <c r="AB53" s="454"/>
      <c r="AC53" s="454"/>
      <c r="AD53" s="454"/>
      <c r="AE53" s="454"/>
      <c r="AF53" s="454"/>
      <c r="AG53" s="454"/>
      <c r="AH53" s="454"/>
      <c r="AI53" s="454"/>
      <c r="AJ53" s="454"/>
      <c r="AK53" s="454"/>
      <c r="AL53" s="454"/>
      <c r="AM53" s="454"/>
      <c r="AN53" s="454"/>
      <c r="AO53" s="454"/>
    </row>
    <row r="54" spans="1:43" s="523" customFormat="1" ht="18" hidden="1" customHeight="1" x14ac:dyDescent="0.25">
      <c r="A54" s="238" t="s">
        <v>262</v>
      </c>
      <c r="B54" s="239"/>
      <c r="C54" s="239"/>
      <c r="D54" s="138"/>
      <c r="E54" s="138"/>
      <c r="F54" s="138"/>
      <c r="G54" s="138"/>
      <c r="H54" s="138"/>
      <c r="I54" s="138"/>
      <c r="J54" s="138"/>
      <c r="K54" s="138"/>
      <c r="L54" s="522"/>
      <c r="M54" s="522"/>
      <c r="N54" s="522"/>
      <c r="O54" s="522"/>
      <c r="P54" s="522"/>
      <c r="Q54" s="522"/>
      <c r="R54" s="522"/>
      <c r="S54" s="522"/>
      <c r="T54" s="522"/>
      <c r="U54" s="137"/>
      <c r="V54" s="522"/>
      <c r="W54" s="522"/>
    </row>
    <row r="55" spans="1:43" s="138" customFormat="1" ht="34.5" hidden="1" customHeight="1" x14ac:dyDescent="0.25">
      <c r="A55" s="574" t="s">
        <v>263</v>
      </c>
      <c r="B55" s="575"/>
      <c r="C55" s="575"/>
      <c r="D55" s="575"/>
      <c r="E55" s="575"/>
      <c r="F55" s="575"/>
      <c r="G55" s="575"/>
      <c r="H55" s="575"/>
      <c r="I55" s="575"/>
      <c r="J55" s="575"/>
      <c r="K55" s="575"/>
      <c r="L55" s="96"/>
      <c r="M55" s="137"/>
      <c r="N55" s="137"/>
      <c r="O55" s="137"/>
      <c r="P55" s="137"/>
      <c r="Q55" s="137"/>
      <c r="R55" s="137"/>
      <c r="S55" s="137"/>
      <c r="T55" s="137"/>
      <c r="U55" s="137"/>
      <c r="V55" s="522"/>
      <c r="W55" s="522"/>
    </row>
    <row r="56" spans="1:43" s="138" customFormat="1" ht="9.9" hidden="1" customHeight="1" x14ac:dyDescent="0.25">
      <c r="A56" s="524"/>
      <c r="B56" s="524"/>
      <c r="C56" s="524"/>
      <c r="D56" s="524"/>
      <c r="E56" s="524"/>
      <c r="F56" s="524"/>
      <c r="G56" s="524"/>
      <c r="H56" s="524"/>
      <c r="I56" s="524"/>
      <c r="J56" s="524"/>
      <c r="K56" s="524"/>
      <c r="L56" s="96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</row>
    <row r="57" spans="1:43" s="138" customFormat="1" ht="30" hidden="1" customHeight="1" x14ac:dyDescent="0.25">
      <c r="A57" s="524"/>
      <c r="B57" s="525"/>
      <c r="C57" s="243" t="str">
        <f>IF(AND(E30&gt;0,X30=0,B30&lt;&gt;""),B30,"")</f>
        <v/>
      </c>
      <c r="D57" s="243" t="str">
        <f>IF(AND(E31&gt;0,X31=0,B31&lt;&gt;""),B31,"")</f>
        <v/>
      </c>
      <c r="E57" s="243" t="str">
        <f>IF(AND(E32&gt;0,X32=0,B32&lt;&gt;""),B32,"")</f>
        <v/>
      </c>
      <c r="F57" s="243" t="str">
        <f>IF(AND(E33&gt;0,X33=0,B33&lt;&gt;""),B33,"")</f>
        <v/>
      </c>
      <c r="G57" s="243" t="str">
        <f>IF(AND(E34&gt;0,X34=0,B34&lt;&gt;""),B34,"")</f>
        <v/>
      </c>
      <c r="H57" s="243" t="str">
        <f>IF(AND(E35&gt;0,X35=0,B35&lt;&gt;""),B35,"")</f>
        <v/>
      </c>
      <c r="I57" s="524"/>
      <c r="J57" s="524"/>
      <c r="K57" s="524"/>
      <c r="L57" s="96"/>
      <c r="M57" s="137"/>
      <c r="N57" s="137"/>
      <c r="O57" s="137"/>
      <c r="P57" s="137"/>
      <c r="Q57" s="137"/>
      <c r="R57" s="137"/>
      <c r="S57" s="137"/>
      <c r="T57" s="137"/>
      <c r="U57" s="137"/>
      <c r="V57" s="522"/>
      <c r="W57" s="522"/>
    </row>
    <row r="58" spans="1:43" s="138" customFormat="1" ht="20.100000000000001" hidden="1" customHeight="1" x14ac:dyDescent="0.25">
      <c r="A58" s="524"/>
      <c r="B58" s="525"/>
      <c r="C58" s="244" t="s">
        <v>23</v>
      </c>
      <c r="D58" s="244" t="s">
        <v>24</v>
      </c>
      <c r="E58" s="244" t="s">
        <v>25</v>
      </c>
      <c r="F58" s="244" t="s">
        <v>26</v>
      </c>
      <c r="G58" s="244" t="s">
        <v>27</v>
      </c>
      <c r="H58" s="244" t="s">
        <v>28</v>
      </c>
      <c r="I58" s="524"/>
      <c r="J58" s="524"/>
      <c r="K58" s="524"/>
      <c r="L58" s="96"/>
      <c r="M58" s="137"/>
      <c r="N58" s="137"/>
      <c r="O58" s="137"/>
      <c r="P58" s="137"/>
      <c r="Q58" s="137"/>
      <c r="R58" s="137"/>
      <c r="S58" s="137"/>
      <c r="T58" s="137"/>
      <c r="U58" s="137"/>
      <c r="V58" s="522"/>
      <c r="W58" s="522"/>
    </row>
    <row r="59" spans="1:43" s="138" customFormat="1" ht="20.100000000000001" hidden="1" customHeight="1" x14ac:dyDescent="0.25">
      <c r="A59" s="562" t="s">
        <v>264</v>
      </c>
      <c r="B59" s="563"/>
      <c r="C59" s="64" t="str">
        <f>IF(OR($E$4="",E30="",X30=1,J30=0,K30=0),"",
IF(V63=TRUE,"Oui","Non"))</f>
        <v/>
      </c>
      <c r="D59" s="64" t="str">
        <f>IF(OR($E$4="",E31="",X31=1,J31="",K31=""),"",
IF($V65=TRUE,"Oui","Non"))</f>
        <v/>
      </c>
      <c r="E59" s="64" t="str">
        <f>IF(OR($E$4="",E32="",X32=1,J32="",K32=""),"",
IF($V67=TRUE,"Oui","Non"))</f>
        <v/>
      </c>
      <c r="F59" s="64" t="str">
        <f>IF(OR($E$4="",E33="",X33=1,J33="",K33=""),"",
IF($V69=TRUE,"Oui","Non"))</f>
        <v/>
      </c>
      <c r="G59" s="64" t="str">
        <f>IF(OR($E$4="",E34="",X34=1,J34="",K34=""),"",
IF($V71=TRUE,"Oui","Non"))</f>
        <v/>
      </c>
      <c r="H59" s="64" t="str">
        <f>IF(OR($E$4="",E35="",X35=1,J35="",K35=""),"",
IF($V73=TRUE,"Oui","Non"))</f>
        <v/>
      </c>
      <c r="I59" s="524"/>
      <c r="J59" s="524"/>
      <c r="K59" s="524"/>
      <c r="L59" s="96"/>
      <c r="M59" s="137"/>
      <c r="N59" s="137"/>
      <c r="O59" s="137"/>
      <c r="P59" s="137"/>
      <c r="Q59" s="137"/>
      <c r="R59" s="137"/>
      <c r="S59" s="137"/>
      <c r="T59" s="137"/>
      <c r="U59" s="137"/>
      <c r="V59" s="522"/>
      <c r="W59" s="522"/>
    </row>
    <row r="60" spans="1:43" s="138" customFormat="1" ht="19.5" hidden="1" customHeight="1" x14ac:dyDescent="0.25">
      <c r="A60" s="562" t="s">
        <v>265</v>
      </c>
      <c r="B60" s="563"/>
      <c r="C60" s="64" t="str">
        <f>IF(C59="","",
IF(AND(C59="",I30=""),"",
IF(C59="Non","N/A",
IF(AND($C59="Oui",D63-F63&gt;0),"Non","Oui"))))</f>
        <v/>
      </c>
      <c r="D60" s="64" t="str">
        <f>IF(D59="","",
IF(AND(D59="Oui",I31=""),"",
IF(D59="Non","N/A",
IF(AND(D59="Oui",D65-F65&gt;0),"Non","Oui"))))</f>
        <v/>
      </c>
      <c r="E60" s="64" t="str">
        <f>IF(E59="","",
IF(AND(E59="",I32=""),"",
IF(E59="Non","N/A",
IF(AND(E59="Oui",D67-F67&gt;0),"Non","Oui"))))</f>
        <v/>
      </c>
      <c r="F60" s="64" t="str">
        <f>IF(F59="","",
IF(AND(F59="",I33=""),"",
IF(F59="Non","N/A",
IF(AND(F59="Oui",D69-F69&gt;0),"Non","Oui"))))</f>
        <v/>
      </c>
      <c r="G60" s="64" t="str">
        <f>IF(G59="","",
IF(AND(G59="",I34=""),"",
IF(G59="Non","N/A",
IF(AND(G59="Oui",D71-F71&gt;0),"Non","Oui"))))</f>
        <v/>
      </c>
      <c r="H60" s="64" t="str">
        <f>IF(H59="","",
IF(AND(H59="",I35=""),"",
IF(H59="Non","N/A",
IF(AND(H59="Oui",D73-F73&gt;0),"Non","Oui"))))</f>
        <v/>
      </c>
      <c r="I60" s="524"/>
      <c r="J60" s="524"/>
      <c r="K60" s="524"/>
      <c r="M60" s="137"/>
      <c r="N60" s="137"/>
      <c r="O60" s="137"/>
      <c r="P60" s="137"/>
      <c r="Q60" s="137"/>
      <c r="R60" s="137"/>
      <c r="S60" s="137"/>
      <c r="T60" s="137"/>
      <c r="U60" s="522"/>
      <c r="V60" s="522"/>
      <c r="W60" s="522"/>
    </row>
    <row r="61" spans="1:43" s="453" customFormat="1" ht="20.100000000000001" customHeight="1" x14ac:dyDescent="0.25">
      <c r="A61" s="199"/>
      <c r="B61" s="451"/>
      <c r="C61" s="451"/>
      <c r="D61" s="451"/>
      <c r="E61" s="451"/>
      <c r="F61" s="451"/>
      <c r="G61" s="451"/>
      <c r="H61" s="451"/>
      <c r="I61" s="451"/>
      <c r="J61" s="451"/>
      <c r="K61" s="454"/>
      <c r="M61" s="454"/>
      <c r="N61" s="454"/>
      <c r="O61" s="454"/>
      <c r="P61" s="454"/>
      <c r="Q61" s="454"/>
      <c r="R61" s="454"/>
      <c r="S61" s="454"/>
      <c r="T61" s="454"/>
      <c r="U61" s="454"/>
      <c r="V61" s="454"/>
      <c r="W61" s="454"/>
      <c r="X61" s="454"/>
      <c r="Y61" s="454"/>
      <c r="Z61" s="454"/>
      <c r="AA61" s="454"/>
      <c r="AB61" s="454"/>
      <c r="AC61" s="454"/>
      <c r="AD61" s="454"/>
      <c r="AE61" s="454"/>
      <c r="AF61" s="454"/>
      <c r="AG61" s="454"/>
      <c r="AH61" s="454"/>
      <c r="AI61" s="454"/>
      <c r="AJ61" s="454"/>
      <c r="AK61" s="454"/>
      <c r="AL61" s="454"/>
      <c r="AM61" s="454"/>
      <c r="AN61" s="454"/>
      <c r="AO61" s="454"/>
    </row>
    <row r="62" spans="1:43" s="403" customFormat="1" ht="24.75" customHeight="1" x14ac:dyDescent="0.25">
      <c r="A62" s="526" t="s">
        <v>266</v>
      </c>
      <c r="B62" s="236"/>
      <c r="C62" s="236"/>
      <c r="D62" s="236"/>
      <c r="E62" s="527"/>
      <c r="F62" s="34"/>
      <c r="G62" s="456"/>
      <c r="H62" s="456"/>
      <c r="I62" s="456"/>
      <c r="J62" s="456"/>
      <c r="K62" s="456"/>
      <c r="M62" s="392"/>
      <c r="N62" s="392"/>
      <c r="O62" s="392"/>
      <c r="P62" s="392"/>
      <c r="Q62" s="392"/>
      <c r="R62" s="392"/>
      <c r="S62" s="392"/>
      <c r="T62" s="392"/>
      <c r="U62" s="392"/>
      <c r="V62" s="392"/>
      <c r="W62" s="392"/>
      <c r="X62" s="392"/>
      <c r="Y62" s="392"/>
      <c r="Z62" s="392"/>
      <c r="AA62" s="392"/>
      <c r="AB62" s="392"/>
      <c r="AC62" s="392"/>
      <c r="AD62" s="392"/>
      <c r="AE62" s="392"/>
      <c r="AF62" s="392"/>
      <c r="AG62" s="392"/>
      <c r="AH62" s="392"/>
      <c r="AI62" s="392"/>
      <c r="AJ62" s="392"/>
      <c r="AK62" s="392"/>
      <c r="AL62" s="392"/>
      <c r="AM62" s="392"/>
      <c r="AN62" s="392"/>
    </row>
    <row r="63" spans="1:43" s="534" customFormat="1" ht="25.5" customHeight="1" x14ac:dyDescent="0.25">
      <c r="A63" s="457" t="s">
        <v>130</v>
      </c>
      <c r="B63" s="528">
        <f>IF(AND($E30&lt;&gt;"",$D30=""),$E30,IF(AND($E30="",$D30&lt;&gt;""),$D30,IF(AND($E30="",$F30&lt;&gt;""),$F30,0)))</f>
        <v>0</v>
      </c>
      <c r="C63" s="529" t="s">
        <v>42</v>
      </c>
      <c r="D63" s="458">
        <f>$I$30</f>
        <v>0</v>
      </c>
      <c r="E63" s="529" t="s">
        <v>43</v>
      </c>
      <c r="F63" s="458">
        <f>IF(A77&gt;=16,60,72)</f>
        <v>60</v>
      </c>
      <c r="G63" s="529" t="s">
        <v>44</v>
      </c>
      <c r="H63" s="528" t="str">
        <f>IF(AND(D30&lt;=0,OR(X30=1,V63=FALSE)),"S/O",
IF($I30&lt;F63,B63,
(B63/D63)*F63))</f>
        <v>S/O</v>
      </c>
      <c r="I63" s="564" t="s">
        <v>145</v>
      </c>
      <c r="J63" s="624"/>
      <c r="K63" s="530">
        <f>DATE(YEAR(G30),(MONTH(G30)+F63),DAY(G30))</f>
        <v>1827</v>
      </c>
      <c r="L63" s="531"/>
      <c r="M63" s="531"/>
      <c r="N63" s="531"/>
      <c r="O63" s="531"/>
      <c r="P63" s="531"/>
      <c r="Q63" s="531"/>
      <c r="R63" s="531"/>
      <c r="S63" s="532"/>
      <c r="T63" s="98"/>
      <c r="U63" s="98"/>
      <c r="V63" s="81" t="b">
        <f>AND(E30&gt;0,J30="Canadien",K30="Non")</f>
        <v>0</v>
      </c>
      <c r="W63" s="533" t="str">
        <f>IF(X30&gt;0,"S/O",
IF(AND($E30&gt;0,K30="Oui"),"S/O (dist. apparenté au requérant)",
IF(AND($E30&gt;0,$X30=0,$J30="Canadien",$K30=""),"Information manquante",
IF(AND($E30&gt;0,$X30=0,$J30="",$K30&lt;&gt;"Oui"),"Information manquante",
IF(AND($E30&gt;0,$X30=0,$J30="Canadien",$K30="Non"),"ADA totale (droits CAN)",
IF(D30&gt;0,"Montant total des droits de diffusion",
IF(OR($J30="International",F30&gt;0),"S/O (droits int.)","")))))))</f>
        <v/>
      </c>
    </row>
    <row r="64" spans="1:43" s="499" customFormat="1" ht="25.5" customHeight="1" x14ac:dyDescent="0.25">
      <c r="A64" s="252"/>
      <c r="B64" s="82" t="str">
        <f>W63</f>
        <v/>
      </c>
      <c r="C64" s="256"/>
      <c r="D64" s="256" t="s">
        <v>267</v>
      </c>
      <c r="E64" s="254"/>
      <c r="F64" s="256" t="s">
        <v>147</v>
      </c>
      <c r="G64" s="254"/>
      <c r="H64" s="253" t="s">
        <v>148</v>
      </c>
      <c r="I64" s="257"/>
      <c r="J64" s="257"/>
      <c r="K64" s="258"/>
      <c r="L64" s="497"/>
      <c r="M64" s="497"/>
      <c r="N64" s="497"/>
      <c r="O64" s="497"/>
      <c r="P64" s="497"/>
      <c r="Q64" s="497"/>
      <c r="R64" s="497"/>
      <c r="S64" s="498"/>
      <c r="T64" s="98"/>
      <c r="U64" s="98"/>
      <c r="V64" s="82"/>
      <c r="W64" s="535"/>
    </row>
    <row r="65" spans="1:42" s="534" customFormat="1" ht="25.5" customHeight="1" x14ac:dyDescent="0.25">
      <c r="A65" s="457" t="s">
        <v>131</v>
      </c>
      <c r="B65" s="528">
        <f>IF(AND($E31&lt;&gt;"",$D31=""),$E31,IF(AND($E31="",$D31&lt;&gt;""),$D31,IF(AND($E31="",$F31&lt;&gt;""),$F31,0)))</f>
        <v>0</v>
      </c>
      <c r="C65" s="529" t="s">
        <v>42</v>
      </c>
      <c r="D65" s="458">
        <f>$I$31</f>
        <v>0</v>
      </c>
      <c r="E65" s="529" t="s">
        <v>43</v>
      </c>
      <c r="F65" s="536">
        <f>IF((YEAR(K$63)-YEAR(X45))*12+MONTH(K$63)-MONTH(X45)&lt;0,0,(YEAR(K$63)-YEAR(X45))*12+MONTH(K$63)-MONTH(X45))</f>
        <v>59</v>
      </c>
      <c r="G65" s="529" t="s">
        <v>44</v>
      </c>
      <c r="H65" s="528" t="str">
        <f>IF(AND(D31&lt;=0,OR(X31=1,V65=FALSE)),"S/O",
IF($I31&lt;F65,B65,
(B65/D65)*F65))</f>
        <v>S/O</v>
      </c>
      <c r="I65" s="537"/>
      <c r="J65" s="537"/>
      <c r="K65" s="538"/>
      <c r="L65" s="531"/>
      <c r="M65" s="531"/>
      <c r="N65" s="531"/>
      <c r="O65" s="531"/>
      <c r="P65" s="531"/>
      <c r="Q65" s="531"/>
      <c r="R65" s="531"/>
      <c r="S65" s="532"/>
      <c r="T65" s="98"/>
      <c r="U65" s="98"/>
      <c r="V65" s="81" t="b">
        <f>AND(E31&gt;0,J31="Canadien",K31="Non")</f>
        <v>0</v>
      </c>
      <c r="W65" s="533" t="str">
        <f>IF(X31&gt;0,"S/O",
IF(AND($E31&gt;0,K31="Oui"),"S/O (dist. apparenté au requérant)",
IF(AND($E31&gt;0,$X31=0,$J31="Canadien",$K31=""),"Information manquante",
IF(AND($E31&gt;0,$X31=0,$J31="",$K31&lt;&gt;"Oui"),"Information manquante",
IF(AND($E31&gt;0,$X31=0,$J31="Canadien",$K31="Non"),"ADA totale (droits CAN)",
IF(D31&gt;0,"Montant total des droits de diffusion",
IF(OR($J31="International",F31&gt;0),"S/O (droits int.)","")))))))</f>
        <v/>
      </c>
    </row>
    <row r="66" spans="1:42" s="499" customFormat="1" ht="25.5" customHeight="1" x14ac:dyDescent="0.25">
      <c r="A66" s="262"/>
      <c r="B66" s="82" t="str">
        <f>W65</f>
        <v/>
      </c>
      <c r="C66" s="256"/>
      <c r="D66" s="256" t="s">
        <v>267</v>
      </c>
      <c r="E66" s="254"/>
      <c r="F66" s="256" t="s">
        <v>147</v>
      </c>
      <c r="G66" s="254"/>
      <c r="H66" s="253" t="s">
        <v>148</v>
      </c>
      <c r="I66" s="257"/>
      <c r="J66" s="257"/>
      <c r="K66" s="258"/>
      <c r="L66" s="497"/>
      <c r="M66" s="497"/>
      <c r="N66" s="497"/>
      <c r="O66" s="497"/>
      <c r="P66" s="497"/>
      <c r="Q66" s="497"/>
      <c r="R66" s="497"/>
      <c r="S66" s="498"/>
      <c r="T66" s="98"/>
      <c r="U66" s="98"/>
      <c r="V66" s="82"/>
      <c r="W66" s="535"/>
    </row>
    <row r="67" spans="1:42" s="534" customFormat="1" ht="25.5" customHeight="1" x14ac:dyDescent="0.25">
      <c r="A67" s="457" t="s">
        <v>132</v>
      </c>
      <c r="B67" s="528">
        <f>IF(AND($E32&lt;&gt;"",$D32=""),$E32,IF(AND($E32="",$D32&lt;&gt;""),$D32,IF(AND($E32="",$F32&lt;&gt;""),$F32,0)))</f>
        <v>0</v>
      </c>
      <c r="C67" s="529" t="s">
        <v>42</v>
      </c>
      <c r="D67" s="458">
        <f>$I$32</f>
        <v>0</v>
      </c>
      <c r="E67" s="529" t="s">
        <v>43</v>
      </c>
      <c r="F67" s="536">
        <f>IF((YEAR(K$63)-YEAR(X46))*12+MONTH(K$63)-MONTH(X46)&lt;0,0,(YEAR(K$63)-YEAR(X46))*12+MONTH(K$63)-MONTH(X46))</f>
        <v>59</v>
      </c>
      <c r="G67" s="529" t="s">
        <v>44</v>
      </c>
      <c r="H67" s="528" t="str">
        <f>IF(AND(D32&lt;=0,OR(X32=1,V67=FALSE)),"S/O",
IF($I32&lt;F67,B67,
(B67/D67)*F67))</f>
        <v>S/O</v>
      </c>
      <c r="I67" s="537"/>
      <c r="J67" s="537"/>
      <c r="K67" s="538"/>
      <c r="L67" s="531"/>
      <c r="M67" s="531"/>
      <c r="N67" s="531"/>
      <c r="O67" s="531"/>
      <c r="P67" s="531"/>
      <c r="Q67" s="531"/>
      <c r="R67" s="531"/>
      <c r="S67" s="532"/>
      <c r="T67" s="98"/>
      <c r="U67" s="98"/>
      <c r="V67" s="81" t="b">
        <f>AND(E32&gt;0,J32="Canadien",K32="Non")</f>
        <v>0</v>
      </c>
      <c r="W67" s="533" t="str">
        <f>IF(X32&gt;0,"S/O",
IF(AND($E32&gt;0,K32="Oui"),"S/O (dist. apparenté au requérant)",
IF(AND($E32&gt;0,$X32=0,$J32="Canadien",$K32=""),"Information manquante",
IF(AND($E32&gt;0,$X32=0,$J32="",$K32&lt;&gt;"Oui"),"Information manquante",
IF(AND($E32&gt;0,$X32=0,$J32="Canadien",$K32="Non"),"ADA totale (droits CAN)",
IF(D32&gt;0,"Montant total des droits de diffusion",
IF(OR($J32="International",F32&gt;0),"S/O (droits int.)","")))))))</f>
        <v/>
      </c>
    </row>
    <row r="68" spans="1:42" s="499" customFormat="1" ht="25.5" customHeight="1" x14ac:dyDescent="0.25">
      <c r="A68" s="264"/>
      <c r="B68" s="82" t="str">
        <f>W67</f>
        <v/>
      </c>
      <c r="C68" s="256"/>
      <c r="D68" s="256" t="s">
        <v>146</v>
      </c>
      <c r="E68" s="254"/>
      <c r="F68" s="256" t="s">
        <v>147</v>
      </c>
      <c r="G68" s="254"/>
      <c r="H68" s="253" t="s">
        <v>148</v>
      </c>
      <c r="I68" s="257"/>
      <c r="J68" s="257"/>
      <c r="K68" s="258"/>
      <c r="L68" s="497"/>
      <c r="M68" s="497"/>
      <c r="N68" s="497"/>
      <c r="O68" s="497"/>
      <c r="P68" s="497"/>
      <c r="Q68" s="497"/>
      <c r="R68" s="497"/>
      <c r="S68" s="498"/>
      <c r="T68" s="98"/>
      <c r="U68" s="98"/>
      <c r="V68" s="82"/>
      <c r="W68" s="535"/>
    </row>
    <row r="69" spans="1:42" s="534" customFormat="1" ht="25.5" customHeight="1" x14ac:dyDescent="0.25">
      <c r="A69" s="457" t="s">
        <v>133</v>
      </c>
      <c r="B69" s="528">
        <f>IF(AND($E33&lt;&gt;"",$D33=""),$E33,IF(AND($E33="",$D33&lt;&gt;""),$D33,IF(AND($E33="",$F33&lt;&gt;""),$F33,0)))</f>
        <v>0</v>
      </c>
      <c r="C69" s="529" t="s">
        <v>42</v>
      </c>
      <c r="D69" s="536">
        <f>$I$33</f>
        <v>0</v>
      </c>
      <c r="E69" s="529" t="s">
        <v>43</v>
      </c>
      <c r="F69" s="536">
        <f>IF((YEAR(K$63)-YEAR(X47))*12+MONTH(K$63)-MONTH(X47)&lt;0,0,(YEAR(K$63)-YEAR(X47))*12+MONTH(K$63)-MONTH(X47))</f>
        <v>59</v>
      </c>
      <c r="G69" s="529" t="s">
        <v>44</v>
      </c>
      <c r="H69" s="539" t="str">
        <f>IF(AND(D33&lt;=0,OR(X33=1,V69=FALSE)),"S/O",
IF($I33&lt;F69,B69,
(B69/D69)*F69))</f>
        <v>S/O</v>
      </c>
      <c r="I69" s="537"/>
      <c r="J69" s="537"/>
      <c r="K69" s="538"/>
      <c r="L69" s="531"/>
      <c r="M69" s="531"/>
      <c r="N69" s="531"/>
      <c r="O69" s="531"/>
      <c r="P69" s="531"/>
      <c r="Q69" s="531"/>
      <c r="R69" s="531"/>
      <c r="S69" s="532"/>
      <c r="T69" s="98"/>
      <c r="U69" s="98"/>
      <c r="V69" s="81" t="b">
        <f>AND(E33&gt;0,J33="Canadien",K33="Non")</f>
        <v>0</v>
      </c>
      <c r="W69" s="533" t="str">
        <f>IF(X33&gt;0,"S/O",
IF(AND($E33&gt;0,K33="Oui"),"S/O (dist. apparenté au requérant)",
IF(AND($E33&gt;0,$X33=0,$J33="Canadien",$K33=""),"Information manquante",
IF(AND($E33&gt;0,$X33=0,$J33="",$K33&lt;&gt;"Oui"),"Information manquante",
IF(AND($E33&gt;0,$X33=0,$J33="Canadien",$K33="Non"),"ADA totale (droits CAN)",
IF(D33&gt;0,"Montant total des droits de diffusion",
IF(OR($J33="International",F33&gt;0),"S/O (droits int.)","")))))))</f>
        <v/>
      </c>
    </row>
    <row r="70" spans="1:42" s="499" customFormat="1" ht="30.6" customHeight="1" x14ac:dyDescent="0.25">
      <c r="A70" s="252"/>
      <c r="B70" s="82" t="str">
        <f>$W69</f>
        <v/>
      </c>
      <c r="C70" s="256"/>
      <c r="D70" s="256" t="s">
        <v>146</v>
      </c>
      <c r="E70" s="254"/>
      <c r="F70" s="256" t="s">
        <v>147</v>
      </c>
      <c r="G70" s="254"/>
      <c r="H70" s="253" t="s">
        <v>148</v>
      </c>
      <c r="I70" s="257"/>
      <c r="J70" s="257"/>
      <c r="K70" s="258"/>
      <c r="L70" s="497"/>
      <c r="M70" s="497"/>
      <c r="N70" s="497"/>
      <c r="O70" s="497"/>
      <c r="P70" s="497"/>
      <c r="Q70" s="497"/>
      <c r="R70" s="497"/>
      <c r="S70" s="498"/>
      <c r="T70" s="98"/>
      <c r="U70" s="98"/>
      <c r="V70" s="82"/>
      <c r="W70" s="137"/>
    </row>
    <row r="71" spans="1:42" s="534" customFormat="1" ht="26.4" customHeight="1" x14ac:dyDescent="0.25">
      <c r="A71" s="457" t="s">
        <v>134</v>
      </c>
      <c r="B71" s="528">
        <f>IF(AND($E34&lt;&gt;"",$D34=""),$E34,IF(AND($E34="",$D34&lt;&gt;""),$D34,IF(AND($E34="",$F34&lt;&gt;""),$F34,0)))</f>
        <v>0</v>
      </c>
      <c r="C71" s="529" t="s">
        <v>42</v>
      </c>
      <c r="D71" s="536">
        <f>$I$34</f>
        <v>0</v>
      </c>
      <c r="E71" s="529" t="s">
        <v>43</v>
      </c>
      <c r="F71" s="536">
        <f>IF((YEAR(K$63)-YEAR(X48))*12+MONTH(K$63)-MONTH(X48)&lt;0,0,(YEAR(K$63)-YEAR(X48))*12+MONTH(K$63)-MONTH(X48))</f>
        <v>59</v>
      </c>
      <c r="G71" s="529" t="s">
        <v>44</v>
      </c>
      <c r="H71" s="528" t="str">
        <f>IF(AND(D34&lt;=0,OR(X34=1,V71=FALSE)),"S/O",
IF($I34&lt;F71,B71,
(B71/D71)*F71))</f>
        <v>S/O</v>
      </c>
      <c r="I71" s="537"/>
      <c r="J71" s="537"/>
      <c r="K71" s="538"/>
      <c r="L71" s="531"/>
      <c r="M71" s="531"/>
      <c r="N71" s="531"/>
      <c r="O71" s="531"/>
      <c r="P71" s="531"/>
      <c r="Q71" s="531"/>
      <c r="R71" s="531"/>
      <c r="S71" s="532"/>
      <c r="T71" s="532"/>
      <c r="U71" s="532"/>
      <c r="V71" s="81" t="b">
        <f>AND(E34&gt;0,J34="Canadien",K34="Non")</f>
        <v>0</v>
      </c>
      <c r="W71" s="533" t="str">
        <f>IF(X34&gt;0,"S/O",
IF(AND($E34&gt;0,K34="Oui"),"S/O (dist. apparenté au requérant)",
IF(AND($E34&gt;0,$X34=0,$J34="Canadien",$K34=""),"Information manquante",
IF(AND($E34&gt;0,$X34=0,$J34="",$K34&lt;&gt;"Oui"),"Information manquante",
IF(AND($E34&gt;0,$X34=0,$J34="Canadien",$K34="Non"),"ADA totale (droits CAN)",
IF(D34&gt;0,"Montant total des droits de diffusion",
IF(OR($J34="International",F34&gt;0),"S/O (droits int.)","")))))))</f>
        <v/>
      </c>
    </row>
    <row r="72" spans="1:42" s="499" customFormat="1" ht="26.4" customHeight="1" x14ac:dyDescent="0.25">
      <c r="A72" s="262"/>
      <c r="B72" s="82" t="str">
        <f>$W71</f>
        <v/>
      </c>
      <c r="C72" s="256"/>
      <c r="D72" s="256" t="s">
        <v>146</v>
      </c>
      <c r="E72" s="254"/>
      <c r="F72" s="256" t="s">
        <v>147</v>
      </c>
      <c r="G72" s="254"/>
      <c r="H72" s="253" t="s">
        <v>148</v>
      </c>
      <c r="I72" s="257"/>
      <c r="J72" s="257"/>
      <c r="K72" s="258"/>
      <c r="L72" s="497"/>
      <c r="M72" s="497"/>
      <c r="N72" s="497"/>
      <c r="O72" s="497"/>
      <c r="P72" s="497"/>
      <c r="Q72" s="497"/>
      <c r="R72" s="497"/>
      <c r="S72" s="498"/>
      <c r="T72" s="498"/>
      <c r="U72" s="498"/>
      <c r="V72" s="82"/>
      <c r="W72" s="137"/>
    </row>
    <row r="73" spans="1:42" s="534" customFormat="1" ht="26.4" customHeight="1" x14ac:dyDescent="0.25">
      <c r="A73" s="457" t="s">
        <v>135</v>
      </c>
      <c r="B73" s="528">
        <f>IF(AND($E35&lt;&gt;"",$D35=""),$E35,IF(AND($E35="",$D35&lt;&gt;""),$D35,IF(AND($E35="",$F35&lt;&gt;""),$F35,0)))</f>
        <v>0</v>
      </c>
      <c r="C73" s="529" t="s">
        <v>42</v>
      </c>
      <c r="D73" s="536">
        <f>$I$35</f>
        <v>0</v>
      </c>
      <c r="E73" s="529" t="s">
        <v>43</v>
      </c>
      <c r="F73" s="536">
        <f>IF((YEAR(K$63)-YEAR(X49))*12+MONTH(K$63)-MONTH(X49)&lt;0,0,(YEAR(K$63)-YEAR(X49))*12+MONTH(K$63)-MONTH(X49))</f>
        <v>59</v>
      </c>
      <c r="G73" s="529" t="s">
        <v>44</v>
      </c>
      <c r="H73" s="528" t="str">
        <f>IF(AND(D35&lt;=0,OR(X35=1,V73=FALSE)),"S/O",
IF($I35&lt;F73,B73,
(B73/D73)*F73))</f>
        <v>S/O</v>
      </c>
      <c r="I73" s="537"/>
      <c r="J73" s="537"/>
      <c r="K73" s="538"/>
      <c r="L73" s="531"/>
      <c r="M73" s="531"/>
      <c r="N73" s="531"/>
      <c r="O73" s="531"/>
      <c r="P73" s="531"/>
      <c r="Q73" s="531"/>
      <c r="R73" s="531"/>
      <c r="S73" s="532"/>
      <c r="T73" s="532"/>
      <c r="U73" s="532"/>
      <c r="V73" s="81" t="b">
        <f>AND(E35&gt;0,J35="Canadien",K35="Non")</f>
        <v>0</v>
      </c>
      <c r="W73" s="533" t="str">
        <f>IF(X35&gt;0,"S/O",
IF(AND($E35&gt;0,K35="Oui"),"S/O (dist. apparenté au requérant)",
IF(AND($E35&gt;0,$X35=0,$J35="Canadien",$K35=""),"Information manquante",
IF(AND($E35&gt;0,$X35=0,$J35="",$K35&lt;&gt;"Oui"),"Information manquante",
IF(AND($E35&gt;0,$X35=0,$J35="Canadien",$K35="Non"),"ADA totale (droits CAN)",
IF(D35&gt;0,"Montant total des droits de diffusion",
IF(OR($J35="International",F35&gt;0),"S/O (droits int.)","")))))))</f>
        <v/>
      </c>
    </row>
    <row r="74" spans="1:42" s="499" customFormat="1" ht="26.4" customHeight="1" x14ac:dyDescent="0.25">
      <c r="A74" s="265"/>
      <c r="B74" s="83" t="str">
        <f>$W73</f>
        <v/>
      </c>
      <c r="C74" s="255"/>
      <c r="D74" s="255" t="s">
        <v>146</v>
      </c>
      <c r="E74" s="249"/>
      <c r="F74" s="255" t="s">
        <v>147</v>
      </c>
      <c r="G74" s="249"/>
      <c r="H74" s="266" t="s">
        <v>148</v>
      </c>
      <c r="I74" s="260"/>
      <c r="J74" s="260"/>
      <c r="K74" s="261"/>
      <c r="L74" s="497"/>
      <c r="M74" s="497"/>
      <c r="N74" s="497"/>
      <c r="O74" s="497"/>
      <c r="P74" s="497"/>
      <c r="Q74" s="497"/>
      <c r="R74" s="497"/>
      <c r="S74" s="498"/>
      <c r="T74" s="498"/>
      <c r="U74" s="498"/>
      <c r="V74" s="498"/>
      <c r="W74" s="498"/>
    </row>
    <row r="75" spans="1:42" s="403" customFormat="1" ht="21.75" customHeight="1" x14ac:dyDescent="0.25">
      <c r="A75" s="459"/>
      <c r="B75" s="460"/>
      <c r="C75" s="405"/>
      <c r="D75" s="405" t="s">
        <v>41</v>
      </c>
      <c r="E75" s="393"/>
      <c r="I75" s="392"/>
      <c r="J75" s="392"/>
      <c r="K75" s="392"/>
      <c r="L75" s="392"/>
      <c r="M75" s="392"/>
      <c r="N75" s="392"/>
      <c r="O75" s="392"/>
      <c r="P75" s="392"/>
      <c r="Q75" s="392"/>
      <c r="R75" s="392"/>
      <c r="S75" s="392"/>
      <c r="T75" s="392"/>
      <c r="U75" s="392"/>
      <c r="V75" s="392"/>
      <c r="W75" s="392"/>
      <c r="X75" s="392"/>
      <c r="Y75" s="392"/>
      <c r="Z75" s="392"/>
      <c r="AA75" s="392"/>
      <c r="AB75" s="392"/>
      <c r="AC75" s="392"/>
      <c r="AD75" s="392"/>
      <c r="AE75" s="392"/>
      <c r="AF75" s="392"/>
      <c r="AG75" s="392"/>
      <c r="AH75" s="392"/>
      <c r="AI75" s="392"/>
      <c r="AJ75" s="392"/>
      <c r="AK75" s="392"/>
      <c r="AL75" s="392"/>
      <c r="AM75" s="392"/>
      <c r="AN75" s="392"/>
      <c r="AO75" s="392"/>
    </row>
    <row r="76" spans="1:42" s="234" customFormat="1" ht="24.6" customHeight="1" x14ac:dyDescent="0.25">
      <c r="A76" s="512" t="s">
        <v>256</v>
      </c>
      <c r="B76" s="513"/>
      <c r="C76" s="514"/>
      <c r="D76" s="192"/>
      <c r="E76" s="192"/>
      <c r="F76" s="192"/>
      <c r="G76" s="192"/>
      <c r="H76" s="509" t="s">
        <v>242</v>
      </c>
      <c r="I76"/>
      <c r="J76" s="192"/>
      <c r="K76" s="192"/>
      <c r="L76" s="232"/>
      <c r="M76" s="461"/>
      <c r="N76" s="232"/>
      <c r="O76" s="232"/>
      <c r="P76" s="232"/>
      <c r="Q76" s="232"/>
      <c r="R76" s="232"/>
      <c r="S76" s="462"/>
      <c r="T76" s="232"/>
      <c r="U76" s="232"/>
      <c r="V76" s="232"/>
      <c r="W76" s="232"/>
      <c r="X76" s="232"/>
      <c r="Y76" s="232"/>
      <c r="Z76" s="232"/>
      <c r="AA76" s="232"/>
      <c r="AB76" s="232"/>
      <c r="AC76" s="232"/>
      <c r="AD76" s="232"/>
      <c r="AE76" s="232"/>
      <c r="AF76" s="232"/>
      <c r="AG76" s="232"/>
      <c r="AH76" s="232"/>
      <c r="AI76" s="232"/>
      <c r="AJ76" s="232"/>
      <c r="AK76" s="232"/>
      <c r="AL76" s="232"/>
      <c r="AM76" s="232"/>
      <c r="AN76" s="232"/>
      <c r="AO76" s="232"/>
    </row>
    <row r="77" spans="1:42" s="234" customFormat="1" ht="45" customHeight="1" x14ac:dyDescent="0.25">
      <c r="A77" s="463">
        <v>21</v>
      </c>
      <c r="B77" s="59" t="s">
        <v>149</v>
      </c>
      <c r="C77" s="114" t="s">
        <v>150</v>
      </c>
      <c r="D77" s="114" t="s">
        <v>151</v>
      </c>
      <c r="E77" s="625" t="s">
        <v>152</v>
      </c>
      <c r="F77" s="625"/>
      <c r="G77" s="115" t="s">
        <v>153</v>
      </c>
      <c r="H77" s="116" t="s">
        <v>154</v>
      </c>
      <c r="I77" s="473"/>
      <c r="J77" s="464">
        <v>3</v>
      </c>
      <c r="K77" s="465">
        <v>2</v>
      </c>
      <c r="L77" s="279"/>
      <c r="M77" s="279"/>
      <c r="N77" s="279"/>
      <c r="O77" s="279"/>
      <c r="P77" s="279"/>
      <c r="Q77" s="279"/>
      <c r="R77" s="279"/>
      <c r="S77" s="279"/>
      <c r="T77" s="279"/>
      <c r="U77" s="279"/>
      <c r="V77" s="279"/>
      <c r="W77" s="232"/>
      <c r="X77" s="232"/>
      <c r="Y77" s="232"/>
      <c r="Z77" s="232"/>
      <c r="AA77" s="232"/>
      <c r="AB77" s="232"/>
      <c r="AC77" s="232"/>
      <c r="AD77" s="232"/>
      <c r="AE77" s="232"/>
      <c r="AF77" s="232"/>
      <c r="AG77" s="232"/>
      <c r="AH77" s="232"/>
      <c r="AI77" s="232"/>
      <c r="AJ77" s="232"/>
      <c r="AK77" s="232"/>
      <c r="AL77" s="232"/>
      <c r="AM77" s="232"/>
      <c r="AN77" s="232"/>
      <c r="AO77" s="232"/>
      <c r="AP77" s="232"/>
    </row>
    <row r="78" spans="1:42" s="234" customFormat="1" ht="20.100000000000001" customHeight="1" x14ac:dyDescent="0.25">
      <c r="A78" s="466"/>
      <c r="B78" s="117" t="s">
        <v>155</v>
      </c>
      <c r="C78" s="118"/>
      <c r="D78" s="119"/>
      <c r="E78" s="120"/>
      <c r="F78" s="121"/>
      <c r="G78" s="120"/>
      <c r="H78" s="158"/>
      <c r="I78" s="473"/>
      <c r="J78" s="467"/>
      <c r="K78" s="468"/>
      <c r="L78" s="232"/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  <c r="AC78" s="232"/>
      <c r="AD78" s="232"/>
      <c r="AE78" s="232"/>
      <c r="AF78" s="232"/>
      <c r="AG78" s="232"/>
      <c r="AH78" s="232"/>
      <c r="AI78" s="232"/>
      <c r="AJ78" s="232"/>
      <c r="AK78" s="232"/>
      <c r="AL78" s="232"/>
      <c r="AM78" s="232"/>
      <c r="AN78" s="232"/>
      <c r="AO78" s="232"/>
      <c r="AP78" s="232"/>
    </row>
    <row r="79" spans="1:42" s="234" customFormat="1" ht="39.9" customHeight="1" x14ac:dyDescent="0.25">
      <c r="A79" s="473"/>
      <c r="B79" s="102" t="s">
        <v>156</v>
      </c>
      <c r="C79" s="122">
        <v>0.3</v>
      </c>
      <c r="D79" s="103" t="str">
        <f>IF(A$77=3,ROUND((C$79*$E$8),0),"S/O")</f>
        <v>S/O</v>
      </c>
      <c r="E79" s="104" t="str">
        <f>IF(D79="S/O","S/O",
IF(ROUND($G$50+$H$50,0)&gt;=ROUND(D79,0),"Oui",
IF(AND(ROUND($G$50+$H$50,0)&gt;=ROUND(75%*D79,0),$G$50+$H$50+MIN(F$36,ROUND(D79-$G$50+$H$50,0))&gt;=ROUND(D79,0)),"Oui","Non")))</f>
        <v>S/O</v>
      </c>
      <c r="F79" s="105"/>
      <c r="G79" s="106" t="str">
        <f>IF(E79="S/O","S/O",ROUND($J$50,0)-ROUND(D79,0))</f>
        <v>S/O</v>
      </c>
      <c r="H79" s="107" t="str">
        <f>IF(E79="S/O","S/O",
IF(AND($A$77=3,F$36&gt;0,G$50+H$50&gt;=75%*D79),MAX(ROUND(D79-G$50-H$50,0),0),0))</f>
        <v>S/O</v>
      </c>
      <c r="I79" s="473"/>
      <c r="J79" s="183" t="s">
        <v>243</v>
      </c>
      <c r="K79" s="469" t="s">
        <v>115</v>
      </c>
      <c r="L79" s="240"/>
      <c r="M79" s="240"/>
      <c r="N79" s="240"/>
      <c r="O79" s="240"/>
      <c r="P79" s="240"/>
      <c r="Q79" s="240"/>
      <c r="R79" s="240"/>
      <c r="S79" s="240"/>
      <c r="T79" s="232"/>
      <c r="U79" s="232"/>
      <c r="V79" s="232"/>
      <c r="W79" s="232"/>
      <c r="X79" s="232"/>
      <c r="Y79" s="232"/>
      <c r="Z79" s="232"/>
      <c r="AA79" s="232"/>
      <c r="AB79" s="232"/>
      <c r="AC79" s="232"/>
      <c r="AD79" s="232"/>
      <c r="AE79" s="232"/>
      <c r="AF79" s="232"/>
      <c r="AG79" s="232"/>
      <c r="AH79" s="232"/>
      <c r="AI79" s="232"/>
      <c r="AJ79" s="232"/>
      <c r="AK79" s="232"/>
      <c r="AL79" s="232"/>
      <c r="AM79" s="232"/>
      <c r="AN79" s="232"/>
      <c r="AO79" s="232"/>
      <c r="AP79" s="232"/>
    </row>
    <row r="80" spans="1:42" s="234" customFormat="1" ht="39.9" customHeight="1" x14ac:dyDescent="0.25">
      <c r="A80" s="473"/>
      <c r="B80" s="102" t="s">
        <v>158</v>
      </c>
      <c r="C80" s="123">
        <v>0.125</v>
      </c>
      <c r="D80" s="103" t="str">
        <f>IF(A$77=4,ROUND((C$80*$E$8),0),"S/O")</f>
        <v>S/O</v>
      </c>
      <c r="E80" s="104" t="str">
        <f>IF(D80="S/O","S/O",
IF(ROUND($G$50+$H$50,0)&gt;=ROUND(D80,0),"Oui",
IF(AND(ROUND($G$50+$H$50,0)&gt;=ROUND(75%*D80,0),$G$50+$H$50+MIN(F$36,ROUND(D80-$G$50+$H$50,0))&gt;=ROUND(D80,0)),"Oui","Non")))</f>
        <v>S/O</v>
      </c>
      <c r="F80" s="105"/>
      <c r="G80" s="106" t="str">
        <f t="shared" ref="G80:G96" si="9">IF(E80="S/O","S/O",ROUND($J$50,0)-ROUND(D80,0))</f>
        <v>S/O</v>
      </c>
      <c r="H80" s="107" t="str">
        <f>IF(E80="S/O","S/O",
IF(AND($A$77=4,F$36&gt;0,G$50+H$50&gt;=75%*D80),MAX(ROUND(D80-G$50-H$50,0),0),0))</f>
        <v>S/O</v>
      </c>
      <c r="I80" s="473"/>
      <c r="J80" s="547" t="s">
        <v>244</v>
      </c>
      <c r="K80" s="469" t="s">
        <v>157</v>
      </c>
      <c r="L80" s="232"/>
      <c r="M80" s="232"/>
      <c r="N80" s="232"/>
      <c r="O80" s="232"/>
      <c r="P80" s="232"/>
      <c r="Q80" s="232"/>
      <c r="R80" s="232"/>
      <c r="S80" s="232"/>
      <c r="T80" s="232"/>
      <c r="U80" s="232"/>
      <c r="V80" s="232"/>
      <c r="W80" s="232"/>
      <c r="X80" s="232"/>
      <c r="Y80" s="232"/>
      <c r="Z80" s="232"/>
      <c r="AA80" s="232"/>
      <c r="AB80" s="232"/>
      <c r="AC80" s="232"/>
      <c r="AD80" s="232"/>
      <c r="AE80" s="232"/>
      <c r="AF80" s="232"/>
      <c r="AG80" s="232"/>
      <c r="AH80" s="232"/>
      <c r="AI80" s="232"/>
      <c r="AJ80" s="232"/>
      <c r="AK80" s="232"/>
      <c r="AL80" s="232"/>
      <c r="AM80" s="232"/>
      <c r="AN80" s="232"/>
      <c r="AO80" s="232"/>
      <c r="AP80" s="232"/>
    </row>
    <row r="81" spans="1:42" s="234" customFormat="1" ht="39.9" customHeight="1" x14ac:dyDescent="0.25">
      <c r="A81" s="186"/>
      <c r="B81" s="102" t="s">
        <v>159</v>
      </c>
      <c r="C81" s="124">
        <v>0.1</v>
      </c>
      <c r="D81" s="103" t="str">
        <f>IF(A$77=5,ROUND((C81*$E$8),0),"S/O")</f>
        <v>S/O</v>
      </c>
      <c r="E81" s="104" t="str">
        <f>IF(D81="S/O","S/O",
IF(ROUND($G$50+$H$50,0)&gt;=ROUND(D81,0),"Oui",
IF(AND(ROUND($G$50+$H$50,0)&gt;=ROUND(75%*D81,0),$G$50+$H$50+MIN(F$36,ROUND(D81-$G$50+$H$50,0))&gt;=ROUND(D81,0)),"Oui","Non")))</f>
        <v>S/O</v>
      </c>
      <c r="F81" s="105"/>
      <c r="G81" s="106" t="str">
        <f t="shared" si="9"/>
        <v>S/O</v>
      </c>
      <c r="H81" s="107" t="str">
        <f>IF(E81="S/O","S/O",
IF(AND($A$77=5,F$36&gt;0,G$50+H$50&gt;=75%*D81),MAX(ROUND(D81-G$50-H$50,0),0),0))</f>
        <v>S/O</v>
      </c>
      <c r="I81" s="473"/>
      <c r="J81" s="473"/>
      <c r="K81" s="468"/>
      <c r="L81" s="232"/>
      <c r="M81" s="232"/>
      <c r="N81" s="232"/>
      <c r="O81" s="232"/>
      <c r="P81" s="232"/>
      <c r="Q81" s="232"/>
      <c r="R81" s="232"/>
      <c r="S81" s="232"/>
      <c r="T81" s="232"/>
      <c r="U81" s="232"/>
      <c r="V81" s="232"/>
      <c r="W81" s="232"/>
      <c r="X81" s="232"/>
      <c r="Y81" s="232"/>
      <c r="Z81" s="232"/>
      <c r="AA81" s="232"/>
      <c r="AB81" s="232"/>
      <c r="AC81" s="232"/>
      <c r="AD81" s="232"/>
      <c r="AE81" s="232"/>
      <c r="AF81" s="232"/>
      <c r="AG81" s="232"/>
      <c r="AH81" s="232"/>
      <c r="AI81" s="232"/>
      <c r="AJ81" s="232"/>
      <c r="AK81" s="232"/>
      <c r="AL81" s="232"/>
      <c r="AM81" s="232"/>
      <c r="AN81" s="232"/>
      <c r="AO81" s="232"/>
      <c r="AP81" s="232"/>
    </row>
    <row r="82" spans="1:42" s="234" customFormat="1" ht="60" customHeight="1" x14ac:dyDescent="0.25">
      <c r="A82" s="473"/>
      <c r="B82" s="102" t="s">
        <v>161</v>
      </c>
      <c r="C82" s="124" t="s">
        <v>162</v>
      </c>
      <c r="D82" s="103" t="str">
        <f>IF(A$77=6,IF($K$79&gt;=120000,120000,ROUND(($E$8*5%),0)),"S/O")</f>
        <v>S/O</v>
      </c>
      <c r="E82" s="104" t="str">
        <f>IF(D82="S/O","S/O",
IF(ROUND($G$50+$H$50,0)&gt;=ROUND(D82,0),"Oui",
IF(AND(ROUND($G$50+$H$50,0)&gt;=ROUND(75%*D82,0),$G$50+$H$50+MIN(F$36,ROUND(D82-$G$50+$H$50,0))&gt;=ROUND(D82,0)),"Oui","Non")))</f>
        <v>S/O</v>
      </c>
      <c r="F82" s="105"/>
      <c r="G82" s="106" t="str">
        <f t="shared" si="9"/>
        <v>S/O</v>
      </c>
      <c r="H82" s="107" t="str">
        <f>IF(E82="S/O","S/O",
IF(AND($A$77=6,F$36&gt;0,G$50+H$50&gt;=75%*D82),MAX(ROUND(D82-G$50-H$50,0),0),0))</f>
        <v>S/O</v>
      </c>
      <c r="I82" s="473"/>
      <c r="J82" s="187" t="s">
        <v>160</v>
      </c>
      <c r="K82" s="468"/>
      <c r="L82" s="232"/>
      <c r="M82" s="232"/>
      <c r="N82" s="232"/>
      <c r="O82" s="232"/>
      <c r="P82" s="232"/>
      <c r="Q82" s="232"/>
      <c r="R82" s="232"/>
      <c r="S82" s="232"/>
      <c r="T82" s="232"/>
      <c r="U82" s="232"/>
      <c r="V82" s="232"/>
      <c r="W82" s="232"/>
      <c r="X82" s="232"/>
      <c r="Y82" s="232"/>
      <c r="Z82" s="232"/>
      <c r="AA82" s="232"/>
      <c r="AB82" s="232"/>
      <c r="AC82" s="232"/>
      <c r="AD82" s="232"/>
      <c r="AE82" s="232"/>
      <c r="AF82" s="232"/>
      <c r="AG82" s="232"/>
      <c r="AH82" s="232"/>
      <c r="AI82" s="232"/>
      <c r="AJ82" s="232"/>
      <c r="AK82" s="232"/>
      <c r="AL82" s="232"/>
      <c r="AM82" s="232"/>
      <c r="AN82" s="232"/>
      <c r="AO82" s="232"/>
      <c r="AP82" s="232"/>
    </row>
    <row r="83" spans="1:42" s="234" customFormat="1" ht="36.6" customHeight="1" x14ac:dyDescent="0.25">
      <c r="A83" s="466"/>
      <c r="B83" s="125" t="s">
        <v>163</v>
      </c>
      <c r="C83" s="126"/>
      <c r="D83" s="127"/>
      <c r="E83" s="128"/>
      <c r="F83" s="129"/>
      <c r="G83" s="130"/>
      <c r="H83"/>
      <c r="I83" s="548"/>
      <c r="J83" s="470"/>
      <c r="K83" s="468"/>
      <c r="L83" s="232"/>
      <c r="M83" s="232"/>
      <c r="N83" s="232"/>
      <c r="O83" s="232"/>
      <c r="P83" s="232"/>
      <c r="Q83" s="232"/>
      <c r="R83" s="232"/>
      <c r="S83" s="232"/>
      <c r="T83" s="232"/>
      <c r="U83" s="232"/>
      <c r="V83" s="232"/>
      <c r="W83" s="232"/>
      <c r="X83" s="232"/>
      <c r="Y83" s="232"/>
      <c r="Z83" s="232"/>
      <c r="AA83" s="232"/>
      <c r="AB83" s="232"/>
      <c r="AC83" s="232"/>
      <c r="AD83" s="232"/>
      <c r="AE83" s="232"/>
      <c r="AF83" s="232"/>
      <c r="AG83" s="232"/>
      <c r="AH83" s="232"/>
      <c r="AI83" s="232"/>
      <c r="AJ83" s="232"/>
      <c r="AK83" s="232"/>
      <c r="AL83" s="232"/>
      <c r="AM83" s="232"/>
      <c r="AN83" s="232"/>
      <c r="AO83" s="232"/>
      <c r="AP83" s="232"/>
    </row>
    <row r="84" spans="1:42" s="234" customFormat="1" ht="39.9" customHeight="1" x14ac:dyDescent="0.25">
      <c r="A84" s="466"/>
      <c r="B84" s="102" t="s">
        <v>164</v>
      </c>
      <c r="C84" s="108">
        <v>0.35</v>
      </c>
      <c r="D84" s="109" t="str">
        <f>IF($A$77=8,ROUND((C84*$E$8),0),"S/O")</f>
        <v>S/O</v>
      </c>
      <c r="E84" s="104" t="str">
        <f>IF(D84="S/O","S/O",
IF(ROUND($G$50+$H$50,0)&gt;=ROUND(D84,0),"Oui",
IF(AND(ROUND($G$50+$H$50,0)&gt;=ROUND(75%*D84,0),$G$50+$H$50+MIN(F$36,ROUND(D84-$G$50+$H$50,0))&gt;=ROUND(D84,0)),"Oui","Non")))</f>
        <v>S/O</v>
      </c>
      <c r="F84" s="105"/>
      <c r="G84" s="106" t="str">
        <f t="shared" si="9"/>
        <v>S/O</v>
      </c>
      <c r="H84" s="107" t="str">
        <f>IF(E84="S/O","S/O",
IF(AND($A$77=8,F$36&gt;0,G$50+H$50&gt;=75%*D84),MAX(ROUND(D84-G$50-H$50,0),0),0))</f>
        <v>S/O</v>
      </c>
      <c r="I84" s="549"/>
      <c r="J84" s="471"/>
      <c r="K84" s="468"/>
      <c r="L84" s="232"/>
      <c r="M84" s="232"/>
      <c r="N84" s="232"/>
      <c r="O84" s="232"/>
      <c r="P84" s="232"/>
      <c r="Q84" s="232"/>
      <c r="R84" s="232"/>
      <c r="S84" s="232"/>
      <c r="T84" s="232"/>
      <c r="U84" s="232"/>
      <c r="V84" s="232"/>
      <c r="W84" s="232"/>
      <c r="X84" s="232"/>
      <c r="Y84" s="232"/>
      <c r="Z84" s="232"/>
      <c r="AA84" s="232"/>
      <c r="AB84" s="232"/>
      <c r="AC84" s="232"/>
      <c r="AD84" s="232"/>
      <c r="AE84" s="232"/>
      <c r="AF84" s="232"/>
      <c r="AG84" s="232"/>
      <c r="AH84" s="232"/>
      <c r="AI84" s="232"/>
      <c r="AJ84" s="232"/>
      <c r="AK84" s="232"/>
      <c r="AL84" s="232"/>
      <c r="AM84" s="232"/>
      <c r="AN84" s="232"/>
      <c r="AO84" s="232"/>
      <c r="AP84" s="232"/>
    </row>
    <row r="85" spans="1:42" s="234" customFormat="1" ht="39.9" customHeight="1" x14ac:dyDescent="0.25">
      <c r="A85" s="466"/>
      <c r="B85" s="102" t="s">
        <v>165</v>
      </c>
      <c r="C85" s="108">
        <v>0.2</v>
      </c>
      <c r="D85" s="109" t="str">
        <f>IF($A$77=9,ROUND((C85*$E$8),0),"S/O")</f>
        <v>S/O</v>
      </c>
      <c r="E85" s="104" t="str">
        <f>IF(D85="S/O","S/O",
IF(ROUND($G$50+$H$50,0)&gt;=ROUND(D85,0),"Oui",
IF(AND(ROUND($G$50+$H$50,0)&gt;=ROUND(75%*D85,0),$G$50+$H$50+MIN(F$36,ROUND(D85-$G$50+$H$50,0))&gt;=ROUND(D85,0)),"Oui","Non")))</f>
        <v>S/O</v>
      </c>
      <c r="F85" s="105"/>
      <c r="G85" s="106" t="str">
        <f t="shared" si="9"/>
        <v>S/O</v>
      </c>
      <c r="H85" s="107" t="str">
        <f>IF(E85="S/O","S/O",
IF(AND($A$77=9,F$36&gt;0,G$50+H$50&gt;=75%*D85),MAX(ROUND(D85-G$50-H$50,0),0),0))</f>
        <v>S/O</v>
      </c>
      <c r="I85" s="550"/>
      <c r="J85" s="471"/>
      <c r="K85" s="468"/>
      <c r="L85" s="232"/>
      <c r="M85" s="232"/>
      <c r="N85" s="232"/>
      <c r="O85" s="232"/>
      <c r="P85" s="232"/>
      <c r="Q85" s="232"/>
      <c r="R85" s="232"/>
      <c r="S85" s="232"/>
      <c r="T85" s="232"/>
      <c r="U85" s="232"/>
      <c r="V85" s="232"/>
      <c r="W85" s="232"/>
      <c r="X85" s="232"/>
      <c r="Y85" s="232"/>
      <c r="Z85" s="232"/>
      <c r="AA85" s="232"/>
      <c r="AB85" s="232"/>
      <c r="AC85" s="232"/>
      <c r="AD85" s="232"/>
      <c r="AE85" s="232"/>
      <c r="AF85" s="232"/>
      <c r="AG85" s="232"/>
      <c r="AH85" s="232"/>
      <c r="AI85" s="232"/>
      <c r="AJ85" s="232"/>
      <c r="AK85" s="232"/>
      <c r="AL85" s="232"/>
      <c r="AM85" s="232"/>
      <c r="AN85" s="232"/>
      <c r="AO85" s="232"/>
      <c r="AP85" s="232"/>
    </row>
    <row r="86" spans="1:42" s="234" customFormat="1" ht="60" customHeight="1" x14ac:dyDescent="0.25">
      <c r="A86" s="466"/>
      <c r="B86" s="102" t="s">
        <v>166</v>
      </c>
      <c r="C86" s="108" t="s">
        <v>167</v>
      </c>
      <c r="D86" s="110" t="str">
        <f>IF(A$77=10,IF(60000*$K$8&lt;=$E$8*15%,ROUND((60000*$K$8),0),ROUND(($E$8*15%),0)),"S/O")</f>
        <v>S/O</v>
      </c>
      <c r="E86" s="104" t="str">
        <f>IF(D86="S/O","S/O",
IF(ROUND($G$50+$H$50,0)&gt;=ROUND(D86,0),"Oui",
IF(AND(ROUND($G$50+$H$50,0)&gt;=ROUND(75%*D86,0),$G$50+$H$50+MIN(F$36,ROUND(D86-$G$50+$H$50,0))&gt;=ROUND(D86,0)),"Oui","Non")))</f>
        <v>S/O</v>
      </c>
      <c r="F86" s="105"/>
      <c r="G86" s="106" t="str">
        <f t="shared" si="9"/>
        <v>S/O</v>
      </c>
      <c r="H86" s="107" t="str">
        <f>IF(E86="S/O","S/O",
IF(AND($A$77=10,F$36&gt;0,G$50+H$50&gt;=75%*D86),MAX(ROUND(D86-G$50-H$50,0),0),0))</f>
        <v>S/O</v>
      </c>
      <c r="I86" s="548"/>
      <c r="J86" s="471"/>
      <c r="K86" s="468"/>
      <c r="L86" s="232"/>
      <c r="M86" s="232"/>
      <c r="N86" s="232"/>
      <c r="O86" s="232"/>
      <c r="P86" s="232"/>
      <c r="Q86" s="232"/>
      <c r="R86" s="232"/>
      <c r="S86" s="232"/>
      <c r="T86" s="232"/>
      <c r="U86" s="232"/>
      <c r="V86" s="232"/>
      <c r="W86" s="232"/>
      <c r="X86" s="232"/>
      <c r="Y86" s="232"/>
      <c r="Z86" s="232"/>
      <c r="AA86" s="232"/>
      <c r="AB86" s="232"/>
      <c r="AC86" s="232"/>
      <c r="AD86" s="232"/>
      <c r="AE86" s="232"/>
      <c r="AF86" s="232"/>
      <c r="AG86" s="232"/>
      <c r="AH86" s="232"/>
      <c r="AI86" s="232"/>
      <c r="AJ86" s="232"/>
      <c r="AK86" s="232"/>
      <c r="AL86" s="232"/>
      <c r="AM86" s="232"/>
      <c r="AN86" s="232"/>
      <c r="AO86" s="232"/>
      <c r="AP86" s="232"/>
    </row>
    <row r="87" spans="1:42" s="234" customFormat="1" ht="60" customHeight="1" x14ac:dyDescent="0.25">
      <c r="A87" s="466"/>
      <c r="B87" s="102" t="s">
        <v>168</v>
      </c>
      <c r="C87" s="111" t="s">
        <v>169</v>
      </c>
      <c r="D87" s="109" t="str">
        <f>IF(A$77=11,IF(60000&lt;=$E$8*10%,ROUND((60000),0),ROUND(($E$8*10%),0)),"S/O")</f>
        <v>S/O</v>
      </c>
      <c r="E87" s="104" t="str">
        <f>IF(D87="S/O","S/O",
IF(ROUND($G$50+$H$50,0)&gt;=ROUND(D87,0),"Oui",
IF(AND(ROUND($G$50+$H$50,0)&gt;=ROUND(75%*D87,0),$G$50+$H$50+MIN(F$36,ROUND(D87-$G$50+$H$50,0))&gt;=ROUND(D87,0)),"Oui","Non")))</f>
        <v>S/O</v>
      </c>
      <c r="F87" s="105"/>
      <c r="G87" s="106" t="str">
        <f t="shared" si="9"/>
        <v>S/O</v>
      </c>
      <c r="H87" s="107" t="str">
        <f>IF(E87="S/O","S/O",
IF(AND($A$77=11,F$36&gt;0,G$50+H$50&gt;=75%*D87),MAX(ROUND(D87-G$50-H$50,0),0),0))</f>
        <v>S/O</v>
      </c>
      <c r="I87" s="548"/>
      <c r="J87" s="471"/>
      <c r="K87" s="468"/>
      <c r="L87" s="232"/>
      <c r="M87" s="232"/>
      <c r="N87" s="232"/>
      <c r="O87" s="232"/>
      <c r="P87" s="232"/>
      <c r="Q87" s="232"/>
      <c r="R87" s="232"/>
      <c r="S87" s="232"/>
      <c r="T87" s="232"/>
      <c r="U87" s="232"/>
      <c r="V87" s="232"/>
      <c r="W87" s="232"/>
      <c r="X87" s="232"/>
      <c r="Y87" s="232"/>
      <c r="Z87" s="232"/>
      <c r="AA87" s="232"/>
      <c r="AB87" s="232"/>
      <c r="AC87" s="232"/>
      <c r="AD87" s="232"/>
      <c r="AE87" s="232"/>
      <c r="AF87" s="232"/>
      <c r="AG87" s="232"/>
      <c r="AH87" s="232"/>
      <c r="AI87" s="232"/>
      <c r="AJ87" s="232"/>
      <c r="AK87" s="232"/>
      <c r="AL87" s="232"/>
      <c r="AM87" s="232"/>
      <c r="AN87" s="232"/>
      <c r="AO87" s="232"/>
      <c r="AP87" s="232"/>
    </row>
    <row r="88" spans="1:42" s="234" customFormat="1" ht="20.100000000000001" customHeight="1" x14ac:dyDescent="0.25">
      <c r="A88" s="466"/>
      <c r="B88" s="131" t="s">
        <v>170</v>
      </c>
      <c r="C88" s="125"/>
      <c r="D88" s="132"/>
      <c r="E88" s="132"/>
      <c r="F88" s="130"/>
      <c r="G88" s="130"/>
      <c r="H88" s="129"/>
      <c r="I88" s="472"/>
      <c r="J88" s="472"/>
      <c r="K88" s="468"/>
      <c r="L88" s="232"/>
      <c r="M88" s="232"/>
      <c r="N88" s="232"/>
      <c r="O88" s="232"/>
      <c r="P88" s="232"/>
      <c r="Q88" s="232"/>
      <c r="R88" s="232"/>
      <c r="S88" s="232"/>
      <c r="T88" s="232"/>
      <c r="U88" s="232"/>
      <c r="V88" s="232"/>
      <c r="W88" s="232"/>
      <c r="X88" s="232"/>
      <c r="Y88" s="232"/>
      <c r="Z88" s="232"/>
      <c r="AA88" s="232"/>
      <c r="AB88" s="232"/>
      <c r="AC88" s="232"/>
      <c r="AD88" s="232"/>
      <c r="AE88" s="232"/>
      <c r="AF88" s="232"/>
      <c r="AG88" s="232"/>
      <c r="AH88" s="232"/>
      <c r="AI88" s="232"/>
      <c r="AJ88" s="232"/>
      <c r="AK88" s="232"/>
      <c r="AL88" s="232"/>
      <c r="AM88" s="232"/>
      <c r="AN88" s="232"/>
      <c r="AO88" s="232"/>
      <c r="AP88" s="232"/>
    </row>
    <row r="89" spans="1:42" s="234" customFormat="1" ht="39.9" customHeight="1" x14ac:dyDescent="0.25">
      <c r="A89" s="466"/>
      <c r="B89" s="102" t="s">
        <v>171</v>
      </c>
      <c r="C89" s="112">
        <v>0.5</v>
      </c>
      <c r="D89" s="113" t="str">
        <f>IF(A$77=13,ROUND((C89*$E$8),0),"S/O")</f>
        <v>S/O</v>
      </c>
      <c r="E89" s="104" t="str">
        <f>IF(D89="S/O","S/O",
IF(ROUND($G$50+$H$50,0)&gt;=ROUND(D89,0),"Oui","Non"))</f>
        <v>S/O</v>
      </c>
      <c r="F89" s="105"/>
      <c r="G89" s="106" t="str">
        <f t="shared" si="9"/>
        <v>S/O</v>
      </c>
      <c r="H89" s="161"/>
      <c r="I89" s="551"/>
      <c r="J89" s="473"/>
      <c r="K89" s="468"/>
      <c r="L89" s="232"/>
      <c r="M89" s="232"/>
      <c r="N89" s="232"/>
      <c r="O89" s="232"/>
      <c r="P89" s="232"/>
      <c r="Q89" s="232"/>
      <c r="R89" s="232"/>
      <c r="S89" s="232"/>
      <c r="T89" s="232"/>
      <c r="U89" s="232"/>
      <c r="V89" s="232"/>
      <c r="W89" s="232"/>
      <c r="X89" s="232"/>
      <c r="Y89" s="232"/>
      <c r="Z89" s="232"/>
      <c r="AA89" s="232"/>
      <c r="AB89" s="232"/>
      <c r="AC89" s="232"/>
      <c r="AD89" s="232"/>
      <c r="AE89" s="232"/>
      <c r="AF89" s="232"/>
      <c r="AG89" s="232"/>
      <c r="AH89" s="232"/>
      <c r="AI89" s="232"/>
      <c r="AJ89" s="232"/>
      <c r="AK89" s="232"/>
      <c r="AL89" s="232"/>
      <c r="AM89" s="232"/>
      <c r="AN89" s="232"/>
      <c r="AO89" s="232"/>
      <c r="AP89" s="232"/>
    </row>
    <row r="90" spans="1:42" s="139" customFormat="1" ht="39.9" customHeight="1" x14ac:dyDescent="0.25">
      <c r="A90" s="184"/>
      <c r="B90" s="102" t="s">
        <v>172</v>
      </c>
      <c r="C90" s="108">
        <v>0.25</v>
      </c>
      <c r="D90" s="110" t="str">
        <f>IF(A$77=14,ROUND((C90*$E$8),0),"S/O")</f>
        <v>S/O</v>
      </c>
      <c r="E90" s="104" t="str">
        <f t="shared" ref="E90:E96" si="10">IF(D90="S/O","S/O",
IF(ROUND($G$50+$H$50,0)&gt;=ROUND(D90,0),"Oui","Non"))</f>
        <v>S/O</v>
      </c>
      <c r="F90" s="105"/>
      <c r="G90" s="106" t="str">
        <f t="shared" si="9"/>
        <v>S/O</v>
      </c>
      <c r="H90" s="162"/>
      <c r="I90" s="185"/>
      <c r="J90" s="183"/>
      <c r="K90" s="184"/>
      <c r="L90" s="232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</row>
    <row r="91" spans="1:42" s="139" customFormat="1" ht="39.9" customHeight="1" x14ac:dyDescent="0.25">
      <c r="A91" s="184"/>
      <c r="B91" s="102" t="s">
        <v>173</v>
      </c>
      <c r="C91" s="108">
        <v>0.2</v>
      </c>
      <c r="D91" s="110" t="str">
        <f>IF(A$77=15,ROUND((C91*$E$8),0),"S/O")</f>
        <v>S/O</v>
      </c>
      <c r="E91" s="104" t="str">
        <f t="shared" si="10"/>
        <v>S/O</v>
      </c>
      <c r="F91" s="105"/>
      <c r="G91" s="106" t="str">
        <f t="shared" si="9"/>
        <v>S/O</v>
      </c>
      <c r="H91" s="162"/>
      <c r="I91" s="185"/>
      <c r="J91" s="185"/>
      <c r="K91" s="184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0"/>
      <c r="AK91" s="140"/>
      <c r="AL91" s="140"/>
      <c r="AM91" s="140"/>
      <c r="AN91" s="140"/>
      <c r="AO91" s="140"/>
      <c r="AP91" s="140"/>
    </row>
    <row r="92" spans="1:42" s="234" customFormat="1" ht="20.100000000000001" customHeight="1" x14ac:dyDescent="0.25">
      <c r="A92" s="466"/>
      <c r="B92" s="133" t="s">
        <v>174</v>
      </c>
      <c r="C92" s="134"/>
      <c r="D92" s="135"/>
      <c r="E92" s="135"/>
      <c r="F92" s="136"/>
      <c r="G92" s="129"/>
      <c r="H92" s="159"/>
      <c r="I92" s="548"/>
      <c r="J92" s="471"/>
      <c r="K92" s="468"/>
      <c r="L92" s="140"/>
      <c r="M92" s="232"/>
      <c r="N92" s="232"/>
      <c r="O92" s="232"/>
      <c r="P92" s="232"/>
      <c r="Q92" s="232"/>
      <c r="R92" s="232"/>
      <c r="S92" s="232"/>
      <c r="T92" s="232"/>
      <c r="U92" s="232"/>
      <c r="V92" s="232"/>
      <c r="W92" s="232"/>
      <c r="X92" s="232"/>
      <c r="Y92" s="232"/>
      <c r="Z92" s="232"/>
      <c r="AA92" s="232"/>
      <c r="AB92" s="232"/>
      <c r="AC92" s="232"/>
      <c r="AD92" s="232"/>
      <c r="AE92" s="232"/>
      <c r="AF92" s="232"/>
      <c r="AG92" s="232"/>
      <c r="AH92" s="232"/>
      <c r="AI92" s="232"/>
      <c r="AJ92" s="232"/>
      <c r="AK92" s="232"/>
      <c r="AL92" s="232"/>
      <c r="AM92" s="232"/>
      <c r="AN92" s="232"/>
      <c r="AO92" s="232"/>
      <c r="AP92" s="232"/>
    </row>
    <row r="93" spans="1:42" s="234" customFormat="1" ht="39.9" customHeight="1" x14ac:dyDescent="0.25">
      <c r="A93" s="466"/>
      <c r="B93" s="102" t="s">
        <v>175</v>
      </c>
      <c r="C93" s="108">
        <v>0.5</v>
      </c>
      <c r="D93" s="109" t="str">
        <f>IF($A$77=17,ROUND((C93*$E$8),0),"S/O")</f>
        <v>S/O</v>
      </c>
      <c r="E93" s="104" t="str">
        <f t="shared" si="10"/>
        <v>S/O</v>
      </c>
      <c r="F93" s="105"/>
      <c r="G93" s="106" t="str">
        <f t="shared" si="9"/>
        <v>S/O</v>
      </c>
      <c r="H93" s="163"/>
      <c r="I93" s="183"/>
      <c r="J93" s="472"/>
      <c r="K93" s="474"/>
      <c r="L93" s="232"/>
      <c r="M93" s="232"/>
      <c r="N93" s="232"/>
      <c r="O93" s="232"/>
      <c r="P93" s="232"/>
      <c r="Q93" s="232"/>
      <c r="R93" s="232"/>
      <c r="S93" s="232"/>
      <c r="T93" s="232"/>
      <c r="U93" s="232"/>
      <c r="V93" s="232"/>
      <c r="W93" s="232"/>
      <c r="X93" s="232"/>
      <c r="Y93" s="232"/>
      <c r="Z93" s="232"/>
      <c r="AA93" s="232"/>
      <c r="AB93" s="232"/>
      <c r="AC93" s="232"/>
      <c r="AD93" s="232"/>
      <c r="AE93" s="232"/>
      <c r="AF93" s="232"/>
      <c r="AG93" s="232"/>
      <c r="AH93" s="232"/>
      <c r="AI93" s="232"/>
      <c r="AJ93" s="232"/>
      <c r="AK93" s="232"/>
      <c r="AL93" s="232"/>
      <c r="AM93" s="232"/>
      <c r="AN93" s="232"/>
      <c r="AO93" s="232"/>
      <c r="AP93" s="232"/>
    </row>
    <row r="94" spans="1:42" s="234" customFormat="1" ht="39.9" customHeight="1" x14ac:dyDescent="0.25">
      <c r="A94" s="466"/>
      <c r="B94" s="102" t="s">
        <v>176</v>
      </c>
      <c r="C94" s="108">
        <v>0.23</v>
      </c>
      <c r="D94" s="109" t="str">
        <f>IF($A$77=18,ROUND((C94*$E$8),0),"S/O")</f>
        <v>S/O</v>
      </c>
      <c r="E94" s="104" t="str">
        <f t="shared" si="10"/>
        <v>S/O</v>
      </c>
      <c r="F94" s="105"/>
      <c r="G94" s="106" t="str">
        <f t="shared" si="9"/>
        <v>S/O</v>
      </c>
      <c r="H94" s="163"/>
      <c r="I94" s="183"/>
      <c r="J94" s="472"/>
      <c r="K94" s="474"/>
      <c r="L94" s="232"/>
      <c r="M94" s="232"/>
      <c r="N94" s="232"/>
      <c r="O94" s="232"/>
      <c r="P94" s="232"/>
      <c r="Q94" s="232"/>
      <c r="R94" s="232"/>
      <c r="S94" s="232"/>
      <c r="T94" s="232"/>
      <c r="U94" s="232"/>
      <c r="V94" s="232"/>
      <c r="W94" s="232"/>
      <c r="X94" s="232"/>
      <c r="Y94" s="232"/>
      <c r="Z94" s="232"/>
      <c r="AA94" s="232"/>
      <c r="AB94" s="232"/>
      <c r="AC94" s="232"/>
      <c r="AD94" s="232"/>
      <c r="AE94" s="232"/>
      <c r="AF94" s="232"/>
      <c r="AG94" s="232"/>
      <c r="AH94" s="232"/>
      <c r="AI94" s="232"/>
      <c r="AJ94" s="232"/>
      <c r="AK94" s="232"/>
      <c r="AL94" s="232"/>
      <c r="AM94" s="232"/>
      <c r="AN94" s="232"/>
      <c r="AO94" s="232"/>
      <c r="AP94" s="232"/>
    </row>
    <row r="95" spans="1:42" s="234" customFormat="1" ht="60" customHeight="1" x14ac:dyDescent="0.25">
      <c r="A95" s="475"/>
      <c r="B95" s="102" t="s">
        <v>177</v>
      </c>
      <c r="C95" s="108" t="s">
        <v>178</v>
      </c>
      <c r="D95" s="110" t="str">
        <f>IF(A$77=19,IF(195000*$K$8&lt;=$E$8*20%,ROUND((195000*$K$8),0),ROUND(($E$8*20%),0)),"S/O")</f>
        <v>S/O</v>
      </c>
      <c r="E95" s="104" t="str">
        <f t="shared" si="10"/>
        <v>S/O</v>
      </c>
      <c r="F95" s="105"/>
      <c r="G95" s="106" t="str">
        <f t="shared" si="9"/>
        <v>S/O</v>
      </c>
      <c r="H95" s="160"/>
      <c r="I95" s="472"/>
      <c r="J95" s="472"/>
      <c r="K95" s="474"/>
      <c r="L95" s="232"/>
      <c r="M95" s="232"/>
      <c r="N95" s="232"/>
      <c r="O95" s="232"/>
      <c r="P95" s="232"/>
      <c r="Q95" s="232"/>
      <c r="R95" s="232"/>
      <c r="S95" s="232"/>
      <c r="T95" s="232"/>
      <c r="U95" s="232"/>
      <c r="V95" s="232"/>
      <c r="W95" s="232"/>
      <c r="X95" s="232"/>
      <c r="Y95" s="232"/>
      <c r="Z95" s="232"/>
      <c r="AA95" s="232"/>
      <c r="AB95" s="232"/>
      <c r="AC95" s="232"/>
      <c r="AD95" s="232"/>
      <c r="AE95" s="232"/>
      <c r="AF95" s="232"/>
      <c r="AG95" s="232"/>
      <c r="AH95" s="232"/>
      <c r="AI95" s="232"/>
      <c r="AJ95" s="232"/>
      <c r="AK95" s="232"/>
      <c r="AL95" s="232"/>
      <c r="AM95" s="232"/>
      <c r="AN95" s="232"/>
      <c r="AO95" s="232"/>
      <c r="AP95" s="232"/>
    </row>
    <row r="96" spans="1:42" s="234" customFormat="1" ht="20.100000000000001" customHeight="1" x14ac:dyDescent="0.25">
      <c r="A96" s="475"/>
      <c r="B96" s="102" t="s">
        <v>179</v>
      </c>
      <c r="C96" s="111">
        <v>150000</v>
      </c>
      <c r="D96" s="110" t="str">
        <f>IF(A$77=20,ROUND((C96),0),"S/O")</f>
        <v>S/O</v>
      </c>
      <c r="E96" s="104" t="str">
        <f t="shared" si="10"/>
        <v>S/O</v>
      </c>
      <c r="F96" s="105"/>
      <c r="G96" s="106" t="str">
        <f t="shared" si="9"/>
        <v>S/O</v>
      </c>
      <c r="H96" s="554"/>
      <c r="I96" s="472"/>
      <c r="J96" s="472"/>
      <c r="K96" s="474"/>
      <c r="L96" s="232"/>
      <c r="M96" s="232"/>
      <c r="N96" s="232"/>
      <c r="O96" s="232"/>
      <c r="P96" s="232"/>
      <c r="Q96" s="232"/>
      <c r="R96" s="232"/>
      <c r="S96" s="232"/>
      <c r="T96" s="232"/>
      <c r="U96" s="232"/>
      <c r="V96" s="232"/>
      <c r="W96" s="232"/>
      <c r="X96" s="232"/>
      <c r="Y96" s="232"/>
      <c r="Z96" s="232"/>
      <c r="AA96" s="232"/>
      <c r="AB96" s="232"/>
      <c r="AC96" s="232"/>
      <c r="AD96" s="232"/>
      <c r="AE96" s="232"/>
      <c r="AF96" s="232"/>
      <c r="AG96" s="232"/>
      <c r="AH96" s="232"/>
      <c r="AI96" s="232"/>
      <c r="AJ96" s="232"/>
      <c r="AK96" s="232"/>
      <c r="AL96" s="232"/>
      <c r="AM96" s="232"/>
      <c r="AN96" s="232"/>
      <c r="AO96" s="232"/>
      <c r="AP96" s="232"/>
    </row>
    <row r="97" spans="1:47" s="279" customFormat="1" ht="20.100000000000001" hidden="1" customHeight="1" x14ac:dyDescent="0.25"/>
    <row r="98" spans="1:47" s="234" customFormat="1" hidden="1" x14ac:dyDescent="0.25">
      <c r="A98" s="232"/>
      <c r="B98" s="476"/>
      <c r="C98" s="141"/>
      <c r="D98" s="142"/>
      <c r="E98" s="143"/>
      <c r="F98" s="142"/>
      <c r="G98" s="477"/>
      <c r="H98" s="164"/>
      <c r="I98" s="232"/>
      <c r="J98" s="232"/>
      <c r="K98" s="232"/>
      <c r="L98" s="478"/>
      <c r="M98" s="232"/>
      <c r="N98" s="232"/>
      <c r="O98" s="232"/>
      <c r="P98" s="232"/>
      <c r="Q98" s="232"/>
      <c r="R98" s="232"/>
      <c r="S98" s="232"/>
      <c r="T98" s="232"/>
      <c r="U98" s="232"/>
      <c r="V98" s="232"/>
      <c r="W98" s="232"/>
      <c r="X98" s="232"/>
      <c r="Y98" s="232"/>
      <c r="Z98" s="232"/>
      <c r="AA98" s="232"/>
      <c r="AB98" s="232"/>
      <c r="AC98" s="232"/>
      <c r="AD98" s="232"/>
      <c r="AE98" s="232"/>
      <c r="AF98" s="232"/>
      <c r="AG98" s="232"/>
      <c r="AH98" s="232"/>
      <c r="AI98" s="232"/>
      <c r="AJ98" s="232"/>
      <c r="AK98" s="232"/>
      <c r="AL98" s="232"/>
      <c r="AM98" s="232"/>
      <c r="AN98" s="232"/>
      <c r="AO98" s="232"/>
    </row>
    <row r="99" spans="1:47" s="234" customFormat="1" ht="21" customHeight="1" x14ac:dyDescent="0.25">
      <c r="C99" s="141"/>
      <c r="D99" s="142"/>
      <c r="E99" s="143"/>
      <c r="F99" s="142"/>
      <c r="G99" s="477"/>
      <c r="H99" s="164"/>
      <c r="I99" s="232"/>
      <c r="J99" s="232"/>
      <c r="K99" s="232"/>
      <c r="L99" s="232"/>
      <c r="M99" s="232"/>
      <c r="N99" s="232"/>
      <c r="O99" s="232"/>
      <c r="P99" s="232"/>
      <c r="Q99" s="232"/>
      <c r="R99" s="232"/>
      <c r="S99" s="232"/>
      <c r="T99" s="232"/>
      <c r="U99" s="232"/>
      <c r="V99" s="232"/>
      <c r="W99" s="232"/>
      <c r="X99" s="232"/>
      <c r="Y99" s="232"/>
      <c r="Z99" s="232"/>
      <c r="AA99" s="232"/>
      <c r="AB99" s="232"/>
      <c r="AC99" s="232"/>
      <c r="AD99" s="232"/>
      <c r="AE99" s="232"/>
      <c r="AF99" s="232"/>
      <c r="AG99" s="232"/>
      <c r="AH99" s="232"/>
      <c r="AI99" s="232"/>
      <c r="AJ99" s="232"/>
      <c r="AK99" s="232"/>
      <c r="AL99" s="232"/>
      <c r="AM99" s="232"/>
      <c r="AN99" s="232"/>
      <c r="AO99" s="232"/>
    </row>
    <row r="100" spans="1:47" s="403" customFormat="1" ht="34.950000000000003" customHeight="1" x14ac:dyDescent="0.25">
      <c r="A100" s="626" t="s">
        <v>180</v>
      </c>
      <c r="B100" s="627"/>
      <c r="C100" s="628" t="s">
        <v>181</v>
      </c>
      <c r="D100" s="629"/>
      <c r="E100" s="630"/>
      <c r="F100" s="631" t="s">
        <v>129</v>
      </c>
      <c r="G100" s="632"/>
      <c r="H100" s="633"/>
      <c r="I100" s="634" t="s">
        <v>268</v>
      </c>
      <c r="J100" s="635"/>
      <c r="K100" s="635"/>
      <c r="O100" s="392"/>
      <c r="P100" s="392"/>
      <c r="Q100" s="392"/>
      <c r="R100" s="392"/>
      <c r="S100" s="392"/>
      <c r="T100" s="392"/>
      <c r="U100" s="392"/>
      <c r="V100" s="571" t="s">
        <v>182</v>
      </c>
      <c r="W100" s="572"/>
      <c r="X100" s="573"/>
      <c r="Y100" s="392"/>
      <c r="Z100" s="392"/>
      <c r="AA100" s="392"/>
      <c r="AB100" s="392"/>
      <c r="AC100" s="392"/>
      <c r="AD100" s="392"/>
      <c r="AE100" s="392"/>
      <c r="AF100" s="392"/>
      <c r="AG100" s="392"/>
      <c r="AH100" s="392"/>
      <c r="AI100" s="392"/>
      <c r="AJ100" s="392"/>
      <c r="AK100" s="392"/>
      <c r="AL100" s="392"/>
      <c r="AM100" s="392"/>
      <c r="AN100" s="392"/>
      <c r="AO100" s="392"/>
      <c r="AP100" s="392"/>
      <c r="AQ100" s="392"/>
    </row>
    <row r="101" spans="1:47" s="403" customFormat="1" ht="50.1" customHeight="1" x14ac:dyDescent="0.25">
      <c r="A101" s="618" t="s">
        <v>183</v>
      </c>
      <c r="B101" s="618"/>
      <c r="C101" s="114" t="s">
        <v>184</v>
      </c>
      <c r="D101" s="479" t="s">
        <v>272</v>
      </c>
      <c r="E101" s="479" t="s">
        <v>186</v>
      </c>
      <c r="F101" s="480" t="s">
        <v>270</v>
      </c>
      <c r="G101" s="481" t="s">
        <v>271</v>
      </c>
      <c r="H101" s="481" t="s">
        <v>186</v>
      </c>
      <c r="I101" s="482" t="s">
        <v>269</v>
      </c>
      <c r="J101" s="483" t="s">
        <v>271</v>
      </c>
      <c r="K101" s="483" t="s">
        <v>186</v>
      </c>
      <c r="O101" s="392"/>
      <c r="P101" s="392"/>
      <c r="Q101" s="392"/>
      <c r="R101" s="392"/>
      <c r="S101" s="392"/>
      <c r="T101" s="392"/>
      <c r="U101" s="392"/>
      <c r="V101" s="173" t="s">
        <v>187</v>
      </c>
      <c r="W101" s="174" t="s">
        <v>185</v>
      </c>
      <c r="X101" s="174" t="s">
        <v>186</v>
      </c>
      <c r="Y101" s="392"/>
      <c r="Z101" s="392"/>
      <c r="AA101" s="392"/>
      <c r="AB101" s="392"/>
      <c r="AC101" s="392"/>
      <c r="AD101" s="392"/>
      <c r="AE101" s="392"/>
      <c r="AF101" s="392"/>
      <c r="AG101" s="392"/>
      <c r="AH101" s="392"/>
      <c r="AI101" s="392"/>
      <c r="AJ101" s="392"/>
      <c r="AK101" s="392"/>
      <c r="AL101" s="392"/>
      <c r="AM101" s="392"/>
      <c r="AN101" s="392"/>
      <c r="AO101" s="392"/>
      <c r="AP101" s="392"/>
      <c r="AQ101" s="392"/>
      <c r="AR101" s="392"/>
      <c r="AS101" s="392"/>
      <c r="AT101" s="392"/>
      <c r="AU101" s="392"/>
    </row>
    <row r="102" spans="1:47" s="403" customFormat="1" ht="27" customHeight="1" x14ac:dyDescent="0.25">
      <c r="A102" s="619" t="s">
        <v>188</v>
      </c>
      <c r="B102" s="620"/>
      <c r="C102" s="484"/>
      <c r="D102" s="484"/>
      <c r="E102" s="484"/>
      <c r="F102" s="484"/>
      <c r="G102" s="484"/>
      <c r="H102" s="484"/>
      <c r="I102" s="484"/>
      <c r="J102" s="484"/>
      <c r="K102" s="552"/>
      <c r="O102" s="392"/>
      <c r="P102" s="392"/>
      <c r="Q102" s="392"/>
      <c r="R102" s="392"/>
      <c r="S102" s="392"/>
      <c r="T102" s="392"/>
      <c r="U102" s="392"/>
      <c r="V102" s="621" t="str">
        <f>IF(OR($X$11&lt;&gt;"Oui",$K$77&lt;&gt;2),"",$J$82)</f>
        <v/>
      </c>
      <c r="W102" s="622"/>
      <c r="X102" s="623"/>
      <c r="Y102" s="392"/>
      <c r="Z102" s="392"/>
      <c r="AA102" s="392"/>
      <c r="AB102" s="392"/>
      <c r="AC102" s="392"/>
      <c r="AD102" s="392"/>
      <c r="AE102" s="392"/>
      <c r="AF102" s="392"/>
      <c r="AG102" s="392"/>
      <c r="AH102" s="392"/>
      <c r="AI102" s="392"/>
      <c r="AJ102" s="392"/>
      <c r="AK102" s="392"/>
      <c r="AL102" s="392"/>
      <c r="AM102" s="392"/>
      <c r="AN102" s="392"/>
      <c r="AO102" s="392"/>
      <c r="AP102" s="392"/>
      <c r="AQ102" s="392"/>
      <c r="AR102" s="392"/>
      <c r="AS102" s="392"/>
      <c r="AT102" s="392"/>
      <c r="AU102" s="392"/>
    </row>
    <row r="103" spans="1:47" s="403" customFormat="1" ht="56.25" customHeight="1" x14ac:dyDescent="0.25">
      <c r="A103" s="485" t="str">
        <f>A102</f>
        <v>*Tous les genres sauf dramatiques et animation*</v>
      </c>
      <c r="B103" s="486" t="s">
        <v>274</v>
      </c>
      <c r="C103" s="106" t="str">
        <f>IF(AND($A$77&lt;16,$A$77&lt;&gt;5,$A$77&lt;&gt;6,$A$77&gt;1),
                             IF($E$12="Oui",
                                   IF($W$14="Non",MIN(550000,ROUND($E$8*0.49,0)*$E$13),MIN(ROUND($E$8*0.84,0),
                                   MIN(550000,ROUND($E$8*0.49,0))*$E$13+ROUND($E$8*F10,0))),
                                   IF($W$14="Non",$F$103,MIN(ROUND($E$8*0.84,0),MIN(550000,ROUND($E$8*0.49,0))+ROUND($E$8*$F$10,0)))),"S/O")</f>
        <v>S/O</v>
      </c>
      <c r="D103" s="175" t="str">
        <f>IF(AND($A$77&lt;16,$A$77&lt;&gt;5,$A$77&lt;&gt;6,$A$77&gt;1),IF(OR($G$103="Non",$J$103="Non",$W$103="Non",$C$103&lt;$Y$12+$E$19+$W$21),"Non","Oui"),"S/O")</f>
        <v>S/O</v>
      </c>
      <c r="E103" s="106" t="str">
        <f>IF($D$103="Non",MAX($Y$12+$E$19+$W$21-N($C$103),N($H$103)+N($K$103)+N($X$103)),"S/O")</f>
        <v>S/O</v>
      </c>
      <c r="F103" s="106" t="str">
        <f>IF(AND($A$77&lt;16,$A$77&lt;&gt;5,$A$77&lt;&gt;6,$A$77&gt;1),IF($E$12="Oui",(MIN(550000,ROUND($E$8*0.49,0))*$E$13),(MIN(550000,ROUND($E$8*0.49,0)))),"S/O")</f>
        <v>S/O</v>
      </c>
      <c r="G103" s="175" t="str">
        <f>IF(AND($A$77&lt;16,$A$77&lt;&gt;5,$A$77&lt;&gt;6,$A$77&gt;1),IF($W$14="Oui",IF($F$103&gt;=$E$19,"Oui","Non"),IF($F$103&gt;=$C$36,"Oui","Non")),"S/O")</f>
        <v>S/O</v>
      </c>
      <c r="H103" s="106" t="str">
        <f>IF($G$103="Non",IF($W$14="Non",$C$36-$F$103,$E$19-$F$103),"S/O")</f>
        <v>S/O</v>
      </c>
      <c r="I103" s="106" t="str">
        <f>IF(AND($A$77&lt;16,$A$77&lt;&gt;5,$A$77&lt;&gt;6,$A$77&gt;1),IF(MAX(84%*$E$8-$E$43,0)&lt;$E$8*$F$10,ROUND(MAX(84%*$E$8-$E$43,0),0),ROUND($E$8*$F$10,0)),"S/O")</f>
        <v>S/O</v>
      </c>
      <c r="J103" s="175" t="str">
        <f>IF(AND($A$77&lt;16,$A$77&lt;&gt;5,$A$77&lt;&gt;6,$A$77&gt;1),IF($I$103&gt;=$W$21,"Oui","Non"),"S/O")</f>
        <v>S/O</v>
      </c>
      <c r="K103" s="106" t="str">
        <f>IF($J$103="Non",IF($W$14="Non",$C$36-$I$103,$W$21-$I$103),"S/O")</f>
        <v>S/O</v>
      </c>
      <c r="O103" s="392"/>
      <c r="P103" s="392"/>
      <c r="Q103" s="392"/>
      <c r="R103" s="392"/>
      <c r="S103" s="392"/>
      <c r="T103" s="392"/>
      <c r="U103" s="392"/>
      <c r="V103" s="106" t="str">
        <f>IF(AND(A$77&lt;16,$A$77&lt;&gt;5,$A$77&lt;&gt;6,$A$77&gt;1),IF(AND($X$11="Oui",K77=2),MIN(ROUND(30%*$E$8,0),200000),"S/O"),"S/O")</f>
        <v>S/O</v>
      </c>
      <c r="W103" s="176" t="str">
        <f>IF($V$103="S/O","S/O",IF($Y$12&gt;$V$103,"Non","Oui"))</f>
        <v>S/O</v>
      </c>
      <c r="X103" s="177" t="str">
        <f>IF($W$103="Non",$Y$12-$V$103,"S/O")</f>
        <v>S/O</v>
      </c>
      <c r="Y103" s="487"/>
      <c r="Z103" s="392"/>
      <c r="AA103" s="392"/>
      <c r="AB103" s="392"/>
      <c r="AC103" s="392"/>
      <c r="AD103" s="392"/>
      <c r="AE103" s="392"/>
      <c r="AF103" s="392"/>
      <c r="AG103" s="392"/>
      <c r="AH103" s="392"/>
      <c r="AI103" s="392"/>
      <c r="AJ103" s="392"/>
      <c r="AK103" s="392"/>
      <c r="AL103" s="392"/>
      <c r="AM103" s="392"/>
      <c r="AN103" s="392"/>
      <c r="AO103" s="392"/>
      <c r="AP103" s="392"/>
      <c r="AQ103" s="392"/>
      <c r="AR103" s="392"/>
      <c r="AS103" s="392"/>
      <c r="AT103" s="392"/>
      <c r="AU103" s="392"/>
    </row>
    <row r="104" spans="1:47" s="403" customFormat="1" ht="27" customHeight="1" x14ac:dyDescent="0.25">
      <c r="A104" s="488" t="str">
        <f>B92</f>
        <v>* Dramatiques *</v>
      </c>
      <c r="B104" s="489"/>
      <c r="C104" s="178"/>
      <c r="D104" s="178"/>
      <c r="E104" s="178"/>
      <c r="F104" s="178"/>
      <c r="G104" s="178"/>
      <c r="H104" s="178"/>
      <c r="I104" s="178"/>
      <c r="J104" s="178"/>
      <c r="K104" s="553"/>
      <c r="O104" s="392"/>
      <c r="P104" s="392"/>
      <c r="Q104" s="392"/>
      <c r="R104" s="392"/>
      <c r="S104" s="392"/>
      <c r="T104" s="392"/>
      <c r="U104" s="392"/>
      <c r="V104" s="234"/>
      <c r="W104" s="234"/>
      <c r="X104" s="234"/>
      <c r="Y104" s="392"/>
      <c r="Z104" s="392"/>
      <c r="AA104" s="392"/>
      <c r="AB104" s="392"/>
      <c r="AC104" s="392"/>
      <c r="AD104" s="392"/>
      <c r="AE104" s="392"/>
      <c r="AF104" s="392"/>
      <c r="AG104" s="392"/>
      <c r="AH104" s="392"/>
      <c r="AI104" s="392"/>
      <c r="AJ104" s="392"/>
      <c r="AK104" s="392"/>
      <c r="AL104" s="392"/>
      <c r="AM104" s="392"/>
      <c r="AN104" s="392"/>
      <c r="AO104" s="392"/>
      <c r="AP104" s="392"/>
      <c r="AQ104" s="392"/>
      <c r="AR104" s="392"/>
      <c r="AS104" s="392"/>
      <c r="AT104" s="392"/>
      <c r="AU104" s="392"/>
    </row>
    <row r="105" spans="1:47" s="403" customFormat="1" ht="56.25" customHeight="1" x14ac:dyDescent="0.25">
      <c r="A105" s="102" t="str">
        <f>A104</f>
        <v>* Dramatiques *</v>
      </c>
      <c r="B105" s="490" t="s">
        <v>275</v>
      </c>
      <c r="C105" s="106" t="str">
        <f>IF(AND($A$77&gt;=16,$A$77&lt;=20),
     IF($E$12="Oui",
                                   IF($W$14="Non",MIN(1200000,ROUND($E$8*0.49,0)*E$13),MIN(ROUND($E$8*0.84,0),
                                   MIN(1200000,ROUND($E$8*0.49,0))*$E$13+ROUND($E$8*$F$10,0))),
                                   IF($W$14="Non",$F$105,MIN(ROUND($E$8*0.84,0),MIN(1200000,ROUND($E$8*0.49,0))+ROUND($E$8*$F$10,0)))),"S/O")</f>
        <v>S/O</v>
      </c>
      <c r="D105" s="175" t="str">
        <f>IF(AND($A$77&gt;=16,$A$77&lt;=20),IF(OR($G$105="Non",$J$105="Non",$W$105="Non",$C$105&lt;$Y$12+$E$19+$W$21),"Non","Oui"),"S/O")</f>
        <v>S/O</v>
      </c>
      <c r="E105" s="106" t="str">
        <f>IF($D$105="Non",MAX($Y$12+$E$19+$W$21-N($C$105),N($H$105)+N($K$105)+N($X$105)),"S/O")</f>
        <v>S/O</v>
      </c>
      <c r="F105" s="106" t="str">
        <f>IF(AND($A$77&gt;=16,$A$77&lt;=20),IF($E$12="Oui",MIN(1200000,ROUND($E$8*0.49,0))*E$13,(MIN(1200000,ROUND($E$8*0.49,0)))),"S/O")</f>
        <v>S/O</v>
      </c>
      <c r="G105" s="175" t="str">
        <f>IF(AND($A$77&gt;=16,$A$77&lt;=20),IF($W$14="Oui",IF($F$105&gt;=$E$19,"Oui","Non"),IF($F$105&gt;=$C$36,"Oui","Non")),"S/O")</f>
        <v>S/O</v>
      </c>
      <c r="H105" s="106" t="str">
        <f>IF($G$105="Non",IF($W$14="Non",$C$36-$F$105,$E$19-$F$105),"S/O")</f>
        <v>S/O</v>
      </c>
      <c r="I105" s="106" t="str">
        <f>IF(AND($A$77&gt;=16,$A$77&lt;=20),IF(MAX(84%*$E$8-$E$43,0)&lt;$E$8*$F$10,ROUND(MAX(84%*$E$8-$E$43,0),0),ROUND($E$8*$F$10,0)),"S/O")</f>
        <v>S/O</v>
      </c>
      <c r="J105" s="175" t="str">
        <f>IF(AND($A$77&gt;=16,$A$77&lt;=20),IF($W$14="Oui",IF($I$105&gt;=$W$21,"Oui","Non"),"S/O"),"S/O")</f>
        <v>S/O</v>
      </c>
      <c r="K105" s="106" t="str">
        <f>IF($J$105="Non",IF($W$14="Non",$C$36-$I$105,$W$21-$I$105),"S/O")</f>
        <v>S/O</v>
      </c>
      <c r="O105" s="392"/>
      <c r="P105" s="392"/>
      <c r="Q105" s="392"/>
      <c r="R105" s="392"/>
      <c r="S105" s="392"/>
      <c r="T105" s="392"/>
      <c r="U105" s="392"/>
      <c r="V105" s="106" t="str">
        <f>IF(AND($A$77&gt;=16,$A$77&lt;=20),IF(AND($X$11="Oui",$K$77=2),MIN(ROUND(30%*$E$8,0),200000),"S/O"),"S/O")</f>
        <v>S/O</v>
      </c>
      <c r="W105" s="176" t="str">
        <f>IF($V$105="S/O","S/O",IF($Y$12&gt;$V$105,"Non","Oui"))</f>
        <v>S/O</v>
      </c>
      <c r="X105" s="177" t="str">
        <f>IF($W$105="Non",$Y$12-$V$105,"S/O")</f>
        <v>S/O</v>
      </c>
      <c r="Y105" s="392"/>
      <c r="Z105" s="392"/>
      <c r="AA105" s="392"/>
      <c r="AB105" s="392"/>
      <c r="AC105" s="392"/>
      <c r="AD105" s="392"/>
      <c r="AE105" s="392"/>
      <c r="AF105" s="392"/>
      <c r="AG105" s="392"/>
      <c r="AH105" s="392"/>
      <c r="AI105" s="392"/>
      <c r="AJ105" s="392"/>
      <c r="AK105" s="392"/>
      <c r="AL105" s="392"/>
      <c r="AM105" s="392"/>
      <c r="AN105" s="392"/>
      <c r="AO105" s="392"/>
      <c r="AP105" s="392"/>
      <c r="AQ105" s="392"/>
      <c r="AR105" s="392"/>
      <c r="AS105" s="392"/>
      <c r="AT105" s="392"/>
      <c r="AU105" s="392"/>
    </row>
    <row r="106" spans="1:47" s="403" customFormat="1" ht="27" customHeight="1" x14ac:dyDescent="0.25">
      <c r="A106" s="488" t="s">
        <v>189</v>
      </c>
      <c r="B106" s="489"/>
      <c r="C106" s="178"/>
      <c r="D106" s="178"/>
      <c r="E106" s="178"/>
      <c r="F106" s="178"/>
      <c r="G106" s="178"/>
      <c r="H106" s="178"/>
      <c r="I106" s="178"/>
      <c r="J106" s="178"/>
      <c r="K106" s="553"/>
      <c r="O106" s="392"/>
      <c r="P106" s="392"/>
      <c r="Q106" s="392"/>
      <c r="R106" s="392"/>
      <c r="S106" s="392"/>
      <c r="T106" s="392"/>
      <c r="U106" s="392"/>
      <c r="V106" s="234"/>
      <c r="W106" s="234"/>
      <c r="X106" s="234"/>
      <c r="Y106" s="392"/>
      <c r="Z106" s="392"/>
      <c r="AA106" s="392"/>
      <c r="AB106" s="392"/>
      <c r="AC106" s="392"/>
      <c r="AD106" s="392"/>
      <c r="AE106" s="392"/>
      <c r="AF106" s="392"/>
      <c r="AG106" s="392"/>
      <c r="AH106" s="392"/>
      <c r="AI106" s="392"/>
      <c r="AJ106" s="392"/>
      <c r="AK106" s="392"/>
      <c r="AL106" s="392"/>
      <c r="AM106" s="392"/>
      <c r="AN106" s="392"/>
      <c r="AO106" s="392"/>
      <c r="AP106" s="392"/>
      <c r="AQ106" s="392"/>
      <c r="AR106" s="392"/>
      <c r="AS106" s="392"/>
      <c r="AT106" s="392"/>
      <c r="AU106" s="392"/>
    </row>
    <row r="107" spans="1:47" s="403" customFormat="1" ht="56.25" customHeight="1" x14ac:dyDescent="0.25">
      <c r="A107" s="102" t="s">
        <v>190</v>
      </c>
      <c r="B107" s="486" t="s">
        <v>276</v>
      </c>
      <c r="C107" s="175" t="str">
        <f>IF(OR($A$77=6,$A$77=5),
IF($E$12="Oui",
                                   IF($W$14="Non",MIN(750000,ROUND($E$8*0.49,0)*E$13),MIN(ROUND($E$8*0.84,0),
                                   MIN(750000,ROUND($E$8*0.49,0))*$E$13+ROUND($E$8*$F$10,0))),
                                   IF($W$14="Non",$F$107,MIN(ROUND($E$8*0.84,0),MIN(750000,ROUND($E$8*0.49,0))+ROUND($E$8*$F$10,0)))),"S/O")</f>
        <v>S/O</v>
      </c>
      <c r="D107" s="175" t="str">
        <f>IF(OR($A$77=6,$A$77=5),IF(OR($G$107="Non",$J$107="Non",$W$107="Non",$C$107&lt;$Y$12+$E$19+$W$21),"Non","Oui"),"S/O")</f>
        <v>S/O</v>
      </c>
      <c r="E107" s="179" t="str">
        <f>IF($D$107="Non",MAX($Y$12+$E$19+$W$21-N($C$107),N($H$107)+N($K$107)+N($X$107)),"S/O")</f>
        <v>S/O</v>
      </c>
      <c r="F107" s="179" t="str">
        <f>IF(OR($A$77=6,$A$77=5),IF($E$12="Oui",(MIN(750000,ROUND($E$8*0.49,0))*$E$13),(MIN(750000,ROUND($E$8*0.49,0)))),"S/O")</f>
        <v>S/O</v>
      </c>
      <c r="G107" s="175" t="str">
        <f>IF(OR($A$77=6,$A$77=5),IF($W$14="Oui",IF($F$107&gt;=$E$19,"Oui","Non"),IF($F$107&gt;=$C$36,"Oui","Non")),"S/O")</f>
        <v>S/O</v>
      </c>
      <c r="H107" s="179" t="str">
        <f>IF($G$107="Non",IF($W$14="Non",$C$36-$F$107,$E$19-$F$107),"S/O")</f>
        <v>S/O</v>
      </c>
      <c r="I107" s="179" t="str">
        <f>IF(OR(A77=6,A77=5),IF(MAX(84%*E$8-E$43,0)&lt;E$8*F$10,ROUND(MAX(84%*E$8-E$43,0),0),ROUND($E$8*F$10,0)),"S/O")</f>
        <v>S/O</v>
      </c>
      <c r="J107" s="175" t="str">
        <f>IF(OR($A$77=6,$A$77=5),IF($W$14="Oui",IF($I$107&gt;=$W$21,"Oui","Non"),"S/O"),"S/O")</f>
        <v>S/O</v>
      </c>
      <c r="K107" s="179" t="str">
        <f>IF($J$107="Non",IF($W$14="Non",$C$36-$I$107,$W$21-$I$107),"S/O")</f>
        <v>S/O</v>
      </c>
      <c r="O107" s="392"/>
      <c r="P107" s="392"/>
      <c r="Q107" s="392"/>
      <c r="R107" s="392"/>
      <c r="S107" s="392"/>
      <c r="T107" s="392"/>
      <c r="U107" s="392"/>
      <c r="V107" s="106" t="str">
        <f>IF(OR($A$77=6,$A$77=5),IF(AND($X$11="Oui",$K$77=2),MIN(ROUND(30%*$E$8,0),200000),"S/O"),"S/O")</f>
        <v>S/O</v>
      </c>
      <c r="W107" s="176" t="str">
        <f>IF($V$107="S/O","S/O",IF($Y$12&gt;$V$107,"Non","Oui"))</f>
        <v>S/O</v>
      </c>
      <c r="X107" s="177" t="str">
        <f>IF($W$107="Non",$Y$12-$V$107,"S/O")</f>
        <v>S/O</v>
      </c>
      <c r="Y107" s="392"/>
      <c r="Z107" s="392"/>
      <c r="AA107" s="392"/>
      <c r="AB107" s="392"/>
      <c r="AC107" s="392"/>
      <c r="AD107" s="392"/>
      <c r="AE107" s="392"/>
      <c r="AF107" s="392"/>
      <c r="AG107" s="392"/>
      <c r="AH107" s="392"/>
      <c r="AI107" s="392"/>
      <c r="AJ107" s="392"/>
      <c r="AK107" s="392"/>
      <c r="AL107" s="392"/>
      <c r="AM107" s="392"/>
      <c r="AN107" s="392"/>
      <c r="AO107" s="392"/>
      <c r="AP107" s="392"/>
      <c r="AQ107" s="392"/>
    </row>
    <row r="108" spans="1:47" s="403" customFormat="1" x14ac:dyDescent="0.25">
      <c r="A108" s="392"/>
      <c r="B108" s="422"/>
      <c r="C108" s="392"/>
      <c r="D108" s="450"/>
      <c r="E108" s="392"/>
      <c r="F108" s="392"/>
      <c r="G108" s="392"/>
      <c r="H108" s="392"/>
      <c r="I108" s="392"/>
      <c r="J108" s="392"/>
      <c r="K108" s="392"/>
      <c r="Q108" s="392"/>
      <c r="R108" s="392"/>
      <c r="S108" s="392"/>
      <c r="T108" s="392"/>
      <c r="U108" s="392"/>
      <c r="V108" s="392"/>
      <c r="W108" s="392"/>
      <c r="X108" s="392"/>
      <c r="Y108" s="392"/>
      <c r="Z108" s="392"/>
      <c r="AA108" s="392"/>
      <c r="AB108" s="392"/>
      <c r="AC108" s="392"/>
      <c r="AD108" s="392"/>
      <c r="AE108" s="392"/>
      <c r="AF108" s="392"/>
      <c r="AG108" s="392"/>
      <c r="AH108" s="392"/>
      <c r="AI108" s="392"/>
      <c r="AJ108" s="392"/>
      <c r="AK108" s="392"/>
      <c r="AL108" s="392"/>
      <c r="AM108" s="392"/>
      <c r="AN108" s="392"/>
      <c r="AO108" s="392"/>
      <c r="AP108" s="392"/>
      <c r="AQ108" s="392"/>
      <c r="AR108" s="392"/>
    </row>
    <row r="109" spans="1:47" s="403" customFormat="1" ht="15.6" customHeight="1" x14ac:dyDescent="0.25">
      <c r="A109" s="392"/>
      <c r="B109" s="422"/>
      <c r="G109" s="392"/>
      <c r="H109" s="392"/>
      <c r="I109" s="392"/>
      <c r="J109" s="392"/>
      <c r="K109" s="392"/>
      <c r="L109" s="392"/>
      <c r="Q109" s="392"/>
      <c r="R109" s="392"/>
      <c r="S109" s="392"/>
      <c r="T109" s="392"/>
      <c r="U109" s="392"/>
      <c r="V109" s="392"/>
      <c r="W109" s="392"/>
      <c r="X109" s="392"/>
      <c r="Y109" s="392"/>
      <c r="Z109" s="392"/>
      <c r="AA109" s="392"/>
      <c r="AB109" s="392"/>
      <c r="AC109" s="392"/>
      <c r="AD109" s="392"/>
      <c r="AE109" s="392"/>
      <c r="AF109" s="392"/>
      <c r="AG109" s="392"/>
      <c r="AH109" s="392"/>
      <c r="AI109" s="392"/>
      <c r="AJ109" s="392"/>
      <c r="AK109" s="392"/>
      <c r="AL109" s="392"/>
    </row>
    <row r="110" spans="1:47" s="403" customFormat="1" ht="15.6" customHeight="1" x14ac:dyDescent="0.25">
      <c r="G110" s="392"/>
      <c r="H110" s="392"/>
      <c r="I110" s="392"/>
      <c r="J110" s="392"/>
      <c r="K110" s="392"/>
      <c r="L110" s="392"/>
      <c r="Q110" s="392"/>
      <c r="R110" s="392"/>
      <c r="S110" s="392"/>
      <c r="T110" s="392"/>
      <c r="U110" s="392"/>
      <c r="V110" s="171" t="s">
        <v>191</v>
      </c>
      <c r="W110" s="172" t="str">
        <f>J82</f>
        <v>Mesure incitative pour les projets nordiques</v>
      </c>
      <c r="X110" s="494" t="s">
        <v>192</v>
      </c>
      <c r="Y110" s="392"/>
      <c r="Z110" s="392"/>
      <c r="AA110" s="392"/>
      <c r="AB110" s="392"/>
      <c r="AC110" s="392"/>
      <c r="AD110" s="392"/>
      <c r="AE110" s="392"/>
      <c r="AF110" s="392"/>
      <c r="AG110" s="392"/>
      <c r="AH110" s="392"/>
      <c r="AI110" s="392"/>
      <c r="AJ110" s="392"/>
      <c r="AK110" s="392"/>
      <c r="AL110" s="392"/>
    </row>
    <row r="111" spans="1:47" s="403" customFormat="1" x14ac:dyDescent="0.25">
      <c r="A111" s="392"/>
      <c r="B111" s="422"/>
      <c r="G111" s="392"/>
      <c r="H111" s="392"/>
      <c r="I111" s="392"/>
      <c r="J111" s="392"/>
      <c r="K111" s="392"/>
      <c r="L111" s="392"/>
      <c r="Q111" s="392"/>
      <c r="R111" s="392"/>
      <c r="S111" s="392"/>
      <c r="T111" s="392"/>
      <c r="U111" s="392"/>
      <c r="V111" s="392"/>
      <c r="W111" s="392"/>
      <c r="X111" s="392"/>
      <c r="Y111" s="392"/>
      <c r="Z111" s="392"/>
      <c r="AA111" s="392"/>
      <c r="AB111" s="392"/>
      <c r="AC111" s="392"/>
      <c r="AD111" s="392"/>
      <c r="AE111" s="392"/>
      <c r="AF111" s="392"/>
      <c r="AG111" s="392"/>
      <c r="AH111" s="392"/>
      <c r="AI111" s="392"/>
      <c r="AJ111" s="392"/>
      <c r="AK111" s="392"/>
      <c r="AL111" s="392"/>
    </row>
    <row r="112" spans="1:47" s="403" customFormat="1" x14ac:dyDescent="0.25">
      <c r="A112" s="392"/>
      <c r="B112" s="422"/>
      <c r="G112" s="392"/>
      <c r="H112" s="392"/>
      <c r="I112" s="392"/>
      <c r="J112" s="392"/>
      <c r="K112" s="392"/>
      <c r="L112" s="392"/>
      <c r="Q112" s="392"/>
      <c r="R112" s="392"/>
      <c r="S112" s="392"/>
      <c r="T112" s="392"/>
      <c r="U112" s="392"/>
      <c r="V112" s="392"/>
      <c r="W112" s="392"/>
      <c r="X112" s="392"/>
      <c r="Y112" s="392"/>
      <c r="Z112" s="392"/>
      <c r="AA112" s="392"/>
      <c r="AB112" s="392"/>
      <c r="AC112" s="392"/>
      <c r="AD112" s="392"/>
      <c r="AE112" s="392"/>
      <c r="AF112" s="392"/>
      <c r="AG112" s="392"/>
      <c r="AH112" s="392"/>
      <c r="AI112" s="392"/>
      <c r="AJ112" s="392"/>
      <c r="AK112" s="392"/>
      <c r="AL112" s="392"/>
    </row>
    <row r="113" spans="1:41" s="403" customFormat="1" x14ac:dyDescent="0.25">
      <c r="A113" s="392"/>
      <c r="B113" s="422"/>
      <c r="G113" s="392"/>
      <c r="H113" s="392"/>
      <c r="I113" s="392"/>
      <c r="J113" s="392"/>
      <c r="K113" s="392"/>
      <c r="L113" s="392"/>
      <c r="Q113" s="392"/>
      <c r="R113" s="392"/>
      <c r="S113" s="392"/>
      <c r="T113" s="392"/>
      <c r="U113" s="392"/>
      <c r="V113" s="392"/>
      <c r="W113" s="392"/>
      <c r="X113" s="392"/>
      <c r="Y113" s="392"/>
      <c r="Z113" s="392"/>
      <c r="AA113" s="392"/>
      <c r="AB113" s="392"/>
      <c r="AC113" s="392"/>
      <c r="AD113" s="392"/>
      <c r="AE113" s="392"/>
      <c r="AF113" s="392"/>
      <c r="AG113" s="392"/>
      <c r="AH113" s="392"/>
      <c r="AI113" s="392"/>
      <c r="AJ113" s="392"/>
      <c r="AK113" s="392"/>
      <c r="AL113" s="392"/>
    </row>
    <row r="114" spans="1:41" s="403" customFormat="1" x14ac:dyDescent="0.25">
      <c r="A114" s="392"/>
      <c r="B114" s="422"/>
      <c r="G114" s="392"/>
      <c r="H114" s="392"/>
      <c r="I114" s="392"/>
      <c r="J114" s="392"/>
      <c r="K114" s="392"/>
      <c r="L114" s="392"/>
      <c r="M114" s="392"/>
      <c r="N114" s="392"/>
      <c r="O114" s="392"/>
      <c r="P114" s="392"/>
      <c r="Q114" s="392"/>
      <c r="R114" s="392"/>
      <c r="S114" s="392"/>
      <c r="T114" s="392"/>
      <c r="U114" s="392"/>
      <c r="V114" s="392"/>
      <c r="W114" s="392"/>
      <c r="X114" s="392"/>
      <c r="Y114" s="392"/>
      <c r="Z114" s="392"/>
      <c r="AA114" s="392"/>
      <c r="AB114" s="392"/>
      <c r="AC114" s="392"/>
      <c r="AD114" s="392"/>
      <c r="AE114" s="392"/>
      <c r="AF114" s="392"/>
      <c r="AG114" s="392"/>
      <c r="AH114" s="392"/>
      <c r="AI114" s="392"/>
      <c r="AJ114" s="392"/>
      <c r="AK114" s="392"/>
      <c r="AL114" s="392"/>
    </row>
    <row r="115" spans="1:41" s="491" customFormat="1" x14ac:dyDescent="0.25">
      <c r="A115" s="408"/>
      <c r="B115" s="411"/>
      <c r="G115" s="408"/>
      <c r="H115" s="408"/>
      <c r="I115" s="408"/>
      <c r="J115" s="408"/>
      <c r="K115" s="408"/>
      <c r="L115" s="408"/>
      <c r="M115" s="408"/>
      <c r="N115" s="408"/>
      <c r="O115" s="408"/>
      <c r="P115" s="408"/>
      <c r="Q115" s="408"/>
      <c r="R115" s="408"/>
      <c r="S115" s="408"/>
      <c r="T115" s="408"/>
      <c r="U115" s="408"/>
      <c r="V115" s="408"/>
      <c r="W115" s="408"/>
      <c r="X115" s="408"/>
      <c r="Y115" s="408"/>
      <c r="Z115" s="408"/>
      <c r="AA115" s="408"/>
      <c r="AB115" s="408"/>
      <c r="AC115" s="408"/>
      <c r="AD115" s="408"/>
      <c r="AE115" s="408"/>
      <c r="AF115" s="408"/>
      <c r="AG115" s="408"/>
      <c r="AH115" s="408"/>
      <c r="AI115" s="408"/>
      <c r="AJ115" s="408"/>
      <c r="AK115" s="408"/>
      <c r="AL115" s="408"/>
    </row>
    <row r="116" spans="1:41" s="491" customFormat="1" x14ac:dyDescent="0.25">
      <c r="A116" s="408"/>
      <c r="B116" s="411"/>
      <c r="C116" s="408"/>
      <c r="D116" s="408"/>
      <c r="E116" s="408"/>
      <c r="F116" s="408"/>
      <c r="G116" s="408"/>
      <c r="H116" s="408"/>
      <c r="I116" s="408"/>
      <c r="J116" s="408"/>
      <c r="K116" s="408"/>
      <c r="L116" s="408"/>
      <c r="M116" s="408"/>
      <c r="N116" s="408"/>
      <c r="O116" s="408"/>
      <c r="P116" s="408"/>
      <c r="Q116" s="408"/>
      <c r="R116" s="408"/>
      <c r="S116" s="408"/>
      <c r="T116" s="408"/>
      <c r="U116" s="408"/>
      <c r="V116" s="408"/>
      <c r="W116" s="408"/>
      <c r="X116" s="408"/>
      <c r="Y116" s="408"/>
      <c r="Z116" s="408"/>
      <c r="AA116" s="408"/>
      <c r="AB116" s="408"/>
      <c r="AC116" s="408"/>
      <c r="AD116" s="408"/>
      <c r="AE116" s="408"/>
      <c r="AF116" s="408"/>
      <c r="AG116" s="408"/>
      <c r="AH116" s="408"/>
      <c r="AI116" s="408"/>
      <c r="AJ116" s="408"/>
      <c r="AK116" s="408"/>
      <c r="AL116" s="408"/>
      <c r="AM116" s="408"/>
      <c r="AN116" s="408"/>
      <c r="AO116" s="408"/>
    </row>
    <row r="117" spans="1:41" s="491" customFormat="1" x14ac:dyDescent="0.25">
      <c r="A117" s="408"/>
      <c r="B117" s="411"/>
      <c r="C117" s="408"/>
      <c r="D117" s="408"/>
      <c r="E117" s="408"/>
      <c r="F117" s="408"/>
      <c r="G117" s="408"/>
      <c r="H117" s="408"/>
      <c r="I117" s="408"/>
      <c r="J117" s="408"/>
      <c r="K117" s="408"/>
      <c r="L117" s="408"/>
      <c r="M117" s="408"/>
      <c r="N117" s="408"/>
      <c r="O117" s="408"/>
      <c r="P117" s="408"/>
      <c r="Q117" s="408"/>
      <c r="R117" s="408"/>
      <c r="S117" s="408"/>
      <c r="T117" s="408"/>
      <c r="U117" s="408"/>
      <c r="V117" s="408"/>
      <c r="W117" s="408"/>
      <c r="X117" s="408"/>
      <c r="Y117" s="408"/>
      <c r="Z117" s="408"/>
      <c r="AA117" s="408"/>
      <c r="AB117" s="408"/>
      <c r="AC117" s="408"/>
      <c r="AD117" s="408"/>
      <c r="AE117" s="408"/>
      <c r="AF117" s="408"/>
      <c r="AG117" s="408"/>
      <c r="AH117" s="408"/>
      <c r="AI117" s="408"/>
      <c r="AJ117" s="408"/>
      <c r="AK117" s="408"/>
      <c r="AL117" s="408"/>
      <c r="AM117" s="408"/>
      <c r="AN117" s="408"/>
      <c r="AO117" s="408"/>
    </row>
    <row r="118" spans="1:41" s="491" customFormat="1" x14ac:dyDescent="0.25">
      <c r="A118" s="408"/>
      <c r="B118" s="411"/>
      <c r="C118" s="408"/>
      <c r="D118" s="408"/>
      <c r="E118" s="408"/>
      <c r="F118" s="408"/>
      <c r="G118" s="408"/>
      <c r="H118" s="408"/>
      <c r="I118" s="408"/>
      <c r="J118" s="408"/>
      <c r="K118" s="408"/>
      <c r="L118" s="408"/>
      <c r="M118" s="408"/>
      <c r="N118" s="408"/>
      <c r="O118" s="408"/>
      <c r="P118" s="408"/>
      <c r="Q118" s="408"/>
      <c r="R118" s="408"/>
      <c r="S118" s="408"/>
      <c r="T118" s="408"/>
      <c r="U118" s="408"/>
      <c r="V118" s="408"/>
      <c r="W118" s="408"/>
      <c r="X118" s="408"/>
      <c r="Y118" s="408"/>
      <c r="Z118" s="408"/>
      <c r="AA118" s="408"/>
      <c r="AB118" s="408"/>
      <c r="AC118" s="408"/>
      <c r="AD118" s="408"/>
      <c r="AE118" s="408"/>
      <c r="AF118" s="408"/>
      <c r="AG118" s="408"/>
      <c r="AH118" s="408"/>
      <c r="AI118" s="408"/>
      <c r="AJ118" s="408"/>
      <c r="AK118" s="408"/>
      <c r="AL118" s="408"/>
      <c r="AM118" s="408"/>
      <c r="AN118" s="408"/>
      <c r="AO118" s="408"/>
    </row>
    <row r="119" spans="1:41" s="491" customFormat="1" x14ac:dyDescent="0.25">
      <c r="A119" s="408"/>
      <c r="B119" s="411"/>
      <c r="C119" s="408"/>
      <c r="D119" s="408"/>
      <c r="E119" s="408"/>
      <c r="F119" s="408"/>
      <c r="G119" s="408"/>
      <c r="H119" s="408"/>
      <c r="I119" s="408"/>
      <c r="J119" s="408"/>
      <c r="K119" s="408"/>
      <c r="L119" s="408"/>
      <c r="M119" s="408"/>
      <c r="N119" s="408"/>
      <c r="O119" s="408"/>
      <c r="P119" s="408"/>
      <c r="Q119" s="408"/>
      <c r="R119" s="408"/>
      <c r="S119" s="408"/>
      <c r="T119" s="408"/>
      <c r="U119" s="408"/>
      <c r="V119" s="408"/>
      <c r="W119" s="408"/>
      <c r="X119" s="408"/>
      <c r="Y119" s="408"/>
      <c r="Z119" s="408"/>
      <c r="AA119" s="408"/>
      <c r="AB119" s="408"/>
      <c r="AC119" s="408"/>
      <c r="AD119" s="408"/>
      <c r="AE119" s="408"/>
      <c r="AF119" s="408"/>
      <c r="AG119" s="408"/>
      <c r="AH119" s="408"/>
      <c r="AI119" s="408"/>
      <c r="AJ119" s="408"/>
      <c r="AK119" s="408"/>
      <c r="AL119" s="408"/>
      <c r="AM119" s="408"/>
      <c r="AN119" s="408"/>
      <c r="AO119" s="408"/>
    </row>
    <row r="120" spans="1:41" s="491" customFormat="1" x14ac:dyDescent="0.25">
      <c r="A120" s="408"/>
      <c r="B120" s="411"/>
      <c r="C120" s="408"/>
      <c r="D120" s="408"/>
      <c r="E120" s="408"/>
      <c r="F120" s="408"/>
      <c r="G120" s="408"/>
      <c r="H120" s="408"/>
      <c r="I120" s="408"/>
      <c r="J120" s="408"/>
      <c r="K120" s="408"/>
      <c r="L120" s="408"/>
      <c r="M120" s="408"/>
      <c r="N120" s="408"/>
      <c r="O120" s="408"/>
      <c r="P120" s="408"/>
      <c r="Q120" s="408"/>
      <c r="R120" s="408"/>
      <c r="S120" s="408"/>
      <c r="T120" s="408"/>
      <c r="U120" s="408"/>
      <c r="V120" s="408"/>
      <c r="W120" s="408"/>
      <c r="X120" s="408"/>
      <c r="Y120" s="408"/>
      <c r="Z120" s="408"/>
      <c r="AA120" s="408"/>
      <c r="AB120" s="408"/>
      <c r="AC120" s="408"/>
      <c r="AD120" s="408"/>
      <c r="AE120" s="408"/>
      <c r="AF120" s="408"/>
      <c r="AG120" s="408"/>
      <c r="AH120" s="408"/>
      <c r="AI120" s="408"/>
      <c r="AJ120" s="408"/>
      <c r="AK120" s="408"/>
      <c r="AL120" s="408"/>
      <c r="AM120" s="408"/>
      <c r="AN120" s="408"/>
      <c r="AO120" s="408"/>
    </row>
    <row r="121" spans="1:41" s="491" customFormat="1" x14ac:dyDescent="0.25">
      <c r="A121" s="408"/>
      <c r="B121" s="411"/>
      <c r="C121" s="408"/>
      <c r="D121" s="408"/>
      <c r="E121" s="408"/>
      <c r="F121" s="408"/>
      <c r="G121" s="408"/>
      <c r="H121" s="408"/>
      <c r="I121" s="408"/>
      <c r="J121" s="408"/>
      <c r="K121" s="408"/>
      <c r="L121" s="408"/>
      <c r="M121" s="408"/>
      <c r="N121" s="408"/>
      <c r="O121" s="408"/>
      <c r="P121" s="408"/>
      <c r="Q121" s="408"/>
      <c r="R121" s="408"/>
      <c r="S121" s="408"/>
      <c r="T121" s="408"/>
      <c r="U121" s="408"/>
      <c r="V121" s="408"/>
      <c r="W121" s="408"/>
      <c r="X121" s="408"/>
      <c r="Y121" s="408"/>
      <c r="Z121" s="408"/>
      <c r="AA121" s="408"/>
      <c r="AB121" s="408"/>
      <c r="AC121" s="408"/>
      <c r="AD121" s="408"/>
      <c r="AE121" s="408"/>
      <c r="AF121" s="408"/>
      <c r="AG121" s="408"/>
      <c r="AH121" s="408"/>
      <c r="AI121" s="408"/>
      <c r="AJ121" s="408"/>
      <c r="AK121" s="408"/>
      <c r="AL121" s="408"/>
      <c r="AM121" s="408"/>
      <c r="AN121" s="408"/>
      <c r="AO121" s="408"/>
    </row>
    <row r="122" spans="1:41" s="491" customFormat="1" x14ac:dyDescent="0.25">
      <c r="A122" s="408"/>
      <c r="B122" s="411"/>
      <c r="C122" s="408"/>
      <c r="D122" s="408"/>
      <c r="E122" s="408"/>
      <c r="F122" s="408"/>
      <c r="G122" s="408"/>
      <c r="H122" s="408"/>
      <c r="I122" s="408"/>
      <c r="J122" s="408"/>
      <c r="K122" s="408"/>
      <c r="L122" s="408"/>
      <c r="M122" s="408"/>
      <c r="N122" s="408"/>
      <c r="O122" s="408"/>
      <c r="P122" s="408"/>
      <c r="Q122" s="408"/>
      <c r="R122" s="408"/>
      <c r="S122" s="408"/>
      <c r="T122" s="408"/>
      <c r="U122" s="408"/>
      <c r="V122" s="408"/>
      <c r="W122" s="408"/>
      <c r="X122" s="408"/>
      <c r="Y122" s="408"/>
      <c r="Z122" s="408"/>
      <c r="AA122" s="408"/>
      <c r="AB122" s="408"/>
      <c r="AC122" s="408"/>
      <c r="AD122" s="408"/>
      <c r="AE122" s="408"/>
      <c r="AF122" s="408"/>
      <c r="AG122" s="408"/>
      <c r="AH122" s="408"/>
      <c r="AI122" s="408"/>
      <c r="AJ122" s="408"/>
      <c r="AK122" s="408"/>
      <c r="AL122" s="408"/>
      <c r="AM122" s="408"/>
      <c r="AN122" s="408"/>
      <c r="AO122" s="408"/>
    </row>
    <row r="123" spans="1:41" s="491" customFormat="1" x14ac:dyDescent="0.25">
      <c r="A123" s="408"/>
      <c r="B123" s="411"/>
      <c r="C123" s="408"/>
      <c r="D123" s="408"/>
      <c r="E123" s="408"/>
      <c r="F123" s="408"/>
      <c r="G123" s="408"/>
      <c r="H123" s="408"/>
      <c r="I123" s="408"/>
      <c r="J123" s="408"/>
      <c r="K123" s="408"/>
      <c r="L123" s="408"/>
      <c r="M123" s="408"/>
      <c r="N123" s="408"/>
      <c r="O123" s="408"/>
      <c r="P123" s="408"/>
      <c r="Q123" s="408"/>
      <c r="R123" s="408"/>
      <c r="S123" s="408"/>
      <c r="T123" s="408"/>
      <c r="U123" s="408"/>
      <c r="V123" s="408"/>
      <c r="W123" s="408"/>
      <c r="X123" s="408"/>
      <c r="Y123" s="408"/>
      <c r="Z123" s="408"/>
      <c r="AA123" s="408"/>
      <c r="AB123" s="408"/>
      <c r="AC123" s="408"/>
      <c r="AD123" s="408"/>
      <c r="AE123" s="408"/>
      <c r="AF123" s="408"/>
      <c r="AG123" s="408"/>
      <c r="AH123" s="408"/>
      <c r="AI123" s="408"/>
      <c r="AJ123" s="408"/>
      <c r="AK123" s="408"/>
      <c r="AL123" s="408"/>
      <c r="AM123" s="408"/>
      <c r="AN123" s="408"/>
      <c r="AO123" s="408"/>
    </row>
    <row r="124" spans="1:41" s="491" customFormat="1" x14ac:dyDescent="0.25">
      <c r="A124" s="408"/>
      <c r="B124" s="411"/>
      <c r="C124" s="408"/>
      <c r="D124" s="408"/>
      <c r="E124" s="408"/>
      <c r="F124" s="408"/>
      <c r="G124" s="408"/>
      <c r="H124" s="408"/>
      <c r="I124" s="408"/>
      <c r="J124" s="408"/>
      <c r="K124" s="408"/>
      <c r="L124" s="408"/>
      <c r="M124" s="408"/>
      <c r="N124" s="408"/>
      <c r="O124" s="408"/>
      <c r="P124" s="408"/>
      <c r="Q124" s="408"/>
      <c r="R124" s="408"/>
      <c r="S124" s="408"/>
      <c r="T124" s="408"/>
      <c r="U124" s="408"/>
      <c r="V124" s="408"/>
      <c r="W124" s="408"/>
      <c r="X124" s="408"/>
      <c r="Y124" s="408"/>
      <c r="Z124" s="408"/>
      <c r="AA124" s="408"/>
      <c r="AB124" s="408"/>
      <c r="AC124" s="408"/>
      <c r="AD124" s="408"/>
      <c r="AE124" s="408"/>
      <c r="AF124" s="408"/>
      <c r="AG124" s="408"/>
      <c r="AH124" s="408"/>
      <c r="AI124" s="408"/>
      <c r="AJ124" s="408"/>
      <c r="AK124" s="408"/>
      <c r="AL124" s="408"/>
      <c r="AM124" s="408"/>
      <c r="AN124" s="408"/>
      <c r="AO124" s="408"/>
    </row>
    <row r="125" spans="1:41" s="491" customFormat="1" x14ac:dyDescent="0.25">
      <c r="A125" s="408"/>
      <c r="B125" s="411"/>
      <c r="C125" s="408"/>
      <c r="D125" s="408"/>
      <c r="E125" s="408"/>
      <c r="F125" s="408"/>
      <c r="G125" s="408"/>
      <c r="H125" s="408"/>
      <c r="I125" s="408"/>
      <c r="J125" s="408"/>
      <c r="K125" s="408"/>
      <c r="L125" s="408"/>
      <c r="M125" s="408"/>
      <c r="N125" s="408"/>
      <c r="O125" s="408"/>
      <c r="P125" s="408"/>
      <c r="Q125" s="408"/>
      <c r="R125" s="408"/>
      <c r="S125" s="408"/>
      <c r="T125" s="408"/>
      <c r="U125" s="408"/>
      <c r="V125" s="408"/>
      <c r="W125" s="408"/>
      <c r="X125" s="408"/>
      <c r="Y125" s="408"/>
      <c r="Z125" s="408"/>
      <c r="AA125" s="408"/>
      <c r="AB125" s="408"/>
      <c r="AC125" s="408"/>
      <c r="AD125" s="408"/>
      <c r="AE125" s="408"/>
      <c r="AF125" s="408"/>
      <c r="AG125" s="408"/>
      <c r="AH125" s="408"/>
      <c r="AI125" s="408"/>
      <c r="AJ125" s="408"/>
      <c r="AK125" s="408"/>
      <c r="AL125" s="408"/>
      <c r="AM125" s="408"/>
      <c r="AN125" s="408"/>
      <c r="AO125" s="408"/>
    </row>
    <row r="126" spans="1:41" s="491" customFormat="1" x14ac:dyDescent="0.25">
      <c r="A126" s="408"/>
      <c r="B126" s="411"/>
      <c r="C126" s="408"/>
      <c r="D126" s="408"/>
      <c r="E126" s="408"/>
      <c r="F126" s="408"/>
      <c r="G126" s="408"/>
      <c r="H126" s="408"/>
      <c r="I126" s="408"/>
      <c r="J126" s="408"/>
      <c r="K126" s="408"/>
      <c r="L126" s="408"/>
      <c r="M126" s="408"/>
      <c r="N126" s="408"/>
      <c r="O126" s="408"/>
      <c r="P126" s="408"/>
      <c r="Q126" s="408"/>
      <c r="R126" s="408"/>
      <c r="S126" s="408"/>
      <c r="T126" s="408"/>
      <c r="U126" s="408"/>
      <c r="V126" s="408"/>
      <c r="W126" s="408"/>
      <c r="X126" s="408"/>
      <c r="Y126" s="408"/>
      <c r="Z126" s="408"/>
      <c r="AA126" s="408"/>
      <c r="AB126" s="408"/>
      <c r="AC126" s="408"/>
      <c r="AD126" s="408"/>
      <c r="AE126" s="408"/>
      <c r="AF126" s="408"/>
      <c r="AG126" s="408"/>
      <c r="AH126" s="408"/>
      <c r="AI126" s="408"/>
      <c r="AJ126" s="408"/>
      <c r="AK126" s="408"/>
      <c r="AL126" s="408"/>
      <c r="AM126" s="408"/>
      <c r="AN126" s="408"/>
      <c r="AO126" s="408"/>
    </row>
    <row r="127" spans="1:41" s="491" customFormat="1" x14ac:dyDescent="0.25">
      <c r="A127" s="408"/>
      <c r="B127" s="411"/>
      <c r="C127" s="408"/>
      <c r="D127" s="408"/>
      <c r="E127" s="408"/>
      <c r="F127" s="408"/>
      <c r="G127" s="408"/>
      <c r="H127" s="408"/>
      <c r="I127" s="408"/>
      <c r="J127" s="408"/>
      <c r="K127" s="408"/>
      <c r="L127" s="408"/>
      <c r="M127" s="408"/>
      <c r="N127" s="408"/>
      <c r="O127" s="408"/>
      <c r="P127" s="408"/>
      <c r="Q127" s="408"/>
      <c r="R127" s="408"/>
      <c r="S127" s="408"/>
      <c r="T127" s="408"/>
      <c r="U127" s="408"/>
      <c r="V127" s="408"/>
      <c r="W127" s="408"/>
      <c r="X127" s="408"/>
      <c r="Y127" s="408"/>
      <c r="Z127" s="408"/>
      <c r="AA127" s="408"/>
      <c r="AB127" s="408"/>
      <c r="AC127" s="408"/>
      <c r="AD127" s="408"/>
      <c r="AE127" s="408"/>
      <c r="AF127" s="408"/>
      <c r="AG127" s="408"/>
      <c r="AH127" s="408"/>
      <c r="AI127" s="408"/>
      <c r="AJ127" s="408"/>
      <c r="AK127" s="408"/>
      <c r="AL127" s="408"/>
      <c r="AM127" s="408"/>
      <c r="AN127" s="408"/>
      <c r="AO127" s="408"/>
    </row>
    <row r="128" spans="1:41" s="491" customFormat="1" x14ac:dyDescent="0.25">
      <c r="A128" s="408"/>
      <c r="B128" s="411"/>
      <c r="C128" s="408"/>
      <c r="D128" s="408"/>
      <c r="E128" s="408"/>
      <c r="F128" s="408"/>
      <c r="G128" s="408"/>
      <c r="H128" s="408"/>
      <c r="I128" s="408"/>
      <c r="J128" s="408"/>
      <c r="K128" s="408"/>
      <c r="L128" s="408"/>
      <c r="M128" s="408"/>
      <c r="N128" s="408"/>
      <c r="O128" s="408"/>
      <c r="P128" s="408"/>
      <c r="Q128" s="408"/>
      <c r="R128" s="408"/>
      <c r="S128" s="408"/>
      <c r="T128" s="408"/>
      <c r="U128" s="408"/>
      <c r="V128" s="408"/>
      <c r="W128" s="408"/>
      <c r="X128" s="408"/>
      <c r="Y128" s="408"/>
      <c r="Z128" s="408"/>
      <c r="AA128" s="408"/>
      <c r="AB128" s="408"/>
      <c r="AC128" s="408"/>
      <c r="AD128" s="408"/>
      <c r="AE128" s="408"/>
      <c r="AF128" s="408"/>
      <c r="AG128" s="408"/>
      <c r="AH128" s="408"/>
      <c r="AI128" s="408"/>
      <c r="AJ128" s="408"/>
      <c r="AK128" s="408"/>
      <c r="AL128" s="408"/>
      <c r="AM128" s="408"/>
      <c r="AN128" s="408"/>
      <c r="AO128" s="408"/>
    </row>
    <row r="129" spans="1:41" s="491" customFormat="1" x14ac:dyDescent="0.25">
      <c r="A129" s="408"/>
      <c r="B129" s="411"/>
      <c r="C129" s="408"/>
      <c r="D129" s="408"/>
      <c r="E129" s="408"/>
      <c r="F129" s="408"/>
      <c r="G129" s="408"/>
      <c r="H129" s="408"/>
      <c r="I129" s="408"/>
      <c r="J129" s="408"/>
      <c r="K129" s="408"/>
      <c r="L129" s="408"/>
      <c r="M129" s="408"/>
      <c r="N129" s="408"/>
      <c r="O129" s="408"/>
      <c r="P129" s="408"/>
      <c r="Q129" s="408"/>
      <c r="R129" s="408"/>
      <c r="S129" s="408"/>
      <c r="T129" s="408"/>
      <c r="U129" s="408"/>
      <c r="V129" s="408"/>
      <c r="W129" s="408"/>
      <c r="X129" s="408"/>
      <c r="Y129" s="408"/>
      <c r="Z129" s="408"/>
      <c r="AA129" s="408"/>
      <c r="AB129" s="408"/>
      <c r="AC129" s="408"/>
      <c r="AD129" s="408"/>
      <c r="AE129" s="408"/>
      <c r="AF129" s="408"/>
      <c r="AG129" s="408"/>
      <c r="AH129" s="408"/>
      <c r="AI129" s="408"/>
      <c r="AJ129" s="408"/>
      <c r="AK129" s="408"/>
      <c r="AL129" s="408"/>
      <c r="AM129" s="408"/>
      <c r="AN129" s="408"/>
      <c r="AO129" s="408"/>
    </row>
    <row r="130" spans="1:41" s="491" customFormat="1" x14ac:dyDescent="0.25">
      <c r="A130" s="408"/>
      <c r="B130" s="411"/>
      <c r="C130" s="408"/>
      <c r="D130" s="408"/>
      <c r="E130" s="408"/>
      <c r="F130" s="408"/>
      <c r="G130" s="408"/>
      <c r="H130" s="408"/>
      <c r="I130" s="408"/>
      <c r="J130" s="408"/>
      <c r="K130" s="408"/>
      <c r="L130" s="408"/>
      <c r="M130" s="408"/>
      <c r="N130" s="408"/>
      <c r="O130" s="408"/>
      <c r="P130" s="408"/>
      <c r="Q130" s="408"/>
      <c r="R130" s="408"/>
      <c r="S130" s="408"/>
      <c r="T130" s="408"/>
      <c r="U130" s="408"/>
      <c r="V130" s="408"/>
      <c r="W130" s="408"/>
      <c r="X130" s="408"/>
      <c r="Y130" s="408"/>
      <c r="Z130" s="408"/>
      <c r="AA130" s="408"/>
      <c r="AB130" s="408"/>
      <c r="AC130" s="408"/>
      <c r="AD130" s="408"/>
      <c r="AE130" s="408"/>
      <c r="AF130" s="408"/>
      <c r="AG130" s="408"/>
      <c r="AH130" s="408"/>
      <c r="AI130" s="408"/>
      <c r="AJ130" s="408"/>
      <c r="AK130" s="408"/>
      <c r="AL130" s="408"/>
      <c r="AM130" s="408"/>
      <c r="AN130" s="408"/>
      <c r="AO130" s="408"/>
    </row>
    <row r="131" spans="1:41" s="491" customFormat="1" x14ac:dyDescent="0.25">
      <c r="A131" s="408"/>
      <c r="B131" s="411"/>
      <c r="C131" s="408"/>
      <c r="D131" s="408"/>
      <c r="E131" s="408"/>
      <c r="F131" s="408"/>
      <c r="G131" s="408"/>
      <c r="H131" s="408"/>
      <c r="I131" s="408"/>
      <c r="J131" s="408"/>
      <c r="K131" s="408"/>
      <c r="L131" s="408"/>
      <c r="M131" s="408"/>
      <c r="N131" s="408"/>
      <c r="O131" s="408"/>
      <c r="P131" s="408"/>
      <c r="Q131" s="408"/>
      <c r="R131" s="408"/>
      <c r="S131" s="408"/>
      <c r="T131" s="408"/>
      <c r="U131" s="408"/>
      <c r="V131" s="408"/>
      <c r="W131" s="408"/>
      <c r="X131" s="408"/>
      <c r="Y131" s="408"/>
      <c r="Z131" s="408"/>
      <c r="AA131" s="408"/>
      <c r="AB131" s="408"/>
      <c r="AC131" s="408"/>
      <c r="AD131" s="408"/>
      <c r="AE131" s="408"/>
      <c r="AF131" s="408"/>
      <c r="AG131" s="408"/>
      <c r="AH131" s="408"/>
      <c r="AI131" s="408"/>
      <c r="AJ131" s="408"/>
      <c r="AK131" s="408"/>
      <c r="AL131" s="408"/>
      <c r="AM131" s="408"/>
      <c r="AN131" s="408"/>
      <c r="AO131" s="408"/>
    </row>
    <row r="132" spans="1:41" s="491" customFormat="1" x14ac:dyDescent="0.25">
      <c r="A132" s="408"/>
      <c r="B132" s="411"/>
      <c r="C132" s="408"/>
      <c r="D132" s="408"/>
      <c r="E132" s="408"/>
      <c r="F132" s="408"/>
      <c r="G132" s="408"/>
      <c r="H132" s="408"/>
      <c r="I132" s="408"/>
      <c r="J132" s="408"/>
      <c r="K132" s="408"/>
      <c r="L132" s="408"/>
      <c r="M132" s="408"/>
      <c r="N132" s="408"/>
      <c r="O132" s="408"/>
      <c r="P132" s="408"/>
      <c r="Q132" s="408"/>
      <c r="R132" s="408"/>
      <c r="S132" s="408"/>
      <c r="T132" s="408"/>
      <c r="U132" s="408"/>
      <c r="V132" s="408"/>
      <c r="W132" s="408"/>
      <c r="X132" s="408"/>
      <c r="Y132" s="408"/>
      <c r="Z132" s="408"/>
      <c r="AA132" s="408"/>
      <c r="AB132" s="408"/>
      <c r="AC132" s="408"/>
      <c r="AD132" s="408"/>
      <c r="AE132" s="408"/>
      <c r="AF132" s="408"/>
      <c r="AG132" s="408"/>
      <c r="AH132" s="408"/>
      <c r="AI132" s="408"/>
      <c r="AJ132" s="408"/>
      <c r="AK132" s="408"/>
      <c r="AL132" s="408"/>
      <c r="AM132" s="408"/>
      <c r="AN132" s="408"/>
      <c r="AO132" s="408"/>
    </row>
    <row r="133" spans="1:41" s="491" customFormat="1" x14ac:dyDescent="0.25">
      <c r="A133" s="408"/>
      <c r="B133" s="411"/>
      <c r="C133" s="408"/>
      <c r="D133" s="408"/>
      <c r="E133" s="408"/>
      <c r="F133" s="408"/>
      <c r="G133" s="408"/>
      <c r="H133" s="408"/>
      <c r="I133" s="408"/>
      <c r="J133" s="408"/>
      <c r="K133" s="408"/>
      <c r="L133" s="408"/>
      <c r="M133" s="408"/>
      <c r="N133" s="408"/>
      <c r="O133" s="408"/>
      <c r="P133" s="408"/>
      <c r="Q133" s="408"/>
      <c r="R133" s="408"/>
      <c r="S133" s="408"/>
      <c r="T133" s="408"/>
      <c r="U133" s="408"/>
      <c r="V133" s="408"/>
      <c r="W133" s="408"/>
      <c r="X133" s="408"/>
      <c r="Y133" s="408"/>
      <c r="Z133" s="408"/>
      <c r="AA133" s="408"/>
      <c r="AB133" s="408"/>
      <c r="AC133" s="408"/>
      <c r="AD133" s="408"/>
      <c r="AE133" s="408"/>
      <c r="AF133" s="408"/>
      <c r="AG133" s="408"/>
      <c r="AH133" s="408"/>
      <c r="AI133" s="408"/>
      <c r="AJ133" s="408"/>
      <c r="AK133" s="408"/>
      <c r="AL133" s="408"/>
      <c r="AM133" s="408"/>
      <c r="AN133" s="408"/>
      <c r="AO133" s="408"/>
    </row>
    <row r="134" spans="1:41" s="491" customFormat="1" x14ac:dyDescent="0.25">
      <c r="A134" s="408"/>
      <c r="B134" s="411"/>
      <c r="C134" s="408"/>
      <c r="D134" s="408"/>
      <c r="E134" s="408"/>
      <c r="F134" s="408"/>
      <c r="G134" s="408"/>
      <c r="H134" s="408"/>
      <c r="I134" s="408"/>
      <c r="J134" s="408"/>
      <c r="K134" s="408"/>
      <c r="L134" s="408"/>
      <c r="M134" s="408"/>
      <c r="N134" s="408"/>
      <c r="O134" s="408"/>
      <c r="P134" s="408"/>
      <c r="Q134" s="408"/>
      <c r="R134" s="408"/>
      <c r="S134" s="408"/>
      <c r="T134" s="408"/>
      <c r="U134" s="408"/>
      <c r="V134" s="408"/>
      <c r="W134" s="408"/>
      <c r="X134" s="408"/>
      <c r="Y134" s="408"/>
      <c r="Z134" s="408"/>
      <c r="AA134" s="408"/>
      <c r="AB134" s="408"/>
      <c r="AC134" s="408"/>
      <c r="AD134" s="408"/>
      <c r="AE134" s="408"/>
      <c r="AF134" s="408"/>
      <c r="AG134" s="408"/>
      <c r="AH134" s="408"/>
      <c r="AI134" s="408"/>
      <c r="AJ134" s="408"/>
      <c r="AK134" s="408"/>
      <c r="AL134" s="408"/>
      <c r="AM134" s="408"/>
      <c r="AN134" s="408"/>
      <c r="AO134" s="408"/>
    </row>
    <row r="135" spans="1:41" s="491" customFormat="1" x14ac:dyDescent="0.25">
      <c r="A135" s="408"/>
      <c r="B135" s="411"/>
      <c r="C135" s="408"/>
      <c r="D135" s="408"/>
      <c r="E135" s="408"/>
      <c r="F135" s="408"/>
      <c r="G135" s="408"/>
      <c r="H135" s="408"/>
      <c r="I135" s="408"/>
      <c r="J135" s="408"/>
      <c r="K135" s="408"/>
      <c r="L135" s="408"/>
      <c r="M135" s="408"/>
      <c r="N135" s="408"/>
      <c r="O135" s="408"/>
      <c r="P135" s="408"/>
      <c r="Q135" s="408"/>
      <c r="R135" s="408"/>
      <c r="S135" s="408"/>
      <c r="T135" s="408"/>
      <c r="U135" s="408"/>
      <c r="V135" s="408"/>
      <c r="W135" s="408"/>
      <c r="X135" s="408"/>
      <c r="Y135" s="408"/>
      <c r="Z135" s="408"/>
      <c r="AA135" s="408"/>
      <c r="AB135" s="408"/>
      <c r="AC135" s="408"/>
      <c r="AD135" s="408"/>
      <c r="AE135" s="408"/>
      <c r="AF135" s="408"/>
      <c r="AG135" s="408"/>
      <c r="AH135" s="408"/>
      <c r="AI135" s="408"/>
      <c r="AJ135" s="408"/>
      <c r="AK135" s="408"/>
      <c r="AL135" s="408"/>
      <c r="AM135" s="408"/>
      <c r="AN135" s="408"/>
      <c r="AO135" s="408"/>
    </row>
    <row r="136" spans="1:41" s="491" customFormat="1" x14ac:dyDescent="0.25">
      <c r="A136" s="408"/>
      <c r="B136" s="411"/>
      <c r="C136" s="408"/>
      <c r="D136" s="408"/>
      <c r="E136" s="408"/>
      <c r="F136" s="408"/>
      <c r="G136" s="408"/>
      <c r="H136" s="408"/>
      <c r="I136" s="408"/>
      <c r="J136" s="408"/>
      <c r="K136" s="408"/>
      <c r="L136" s="408"/>
      <c r="M136" s="408"/>
      <c r="N136" s="408"/>
      <c r="O136" s="408"/>
      <c r="P136" s="408"/>
      <c r="Q136" s="408"/>
      <c r="R136" s="408"/>
      <c r="S136" s="408"/>
      <c r="T136" s="408"/>
      <c r="U136" s="408"/>
      <c r="V136" s="408"/>
      <c r="W136" s="408"/>
      <c r="X136" s="408"/>
      <c r="Y136" s="408"/>
      <c r="Z136" s="408"/>
      <c r="AA136" s="408"/>
      <c r="AB136" s="408"/>
      <c r="AC136" s="408"/>
      <c r="AD136" s="408"/>
      <c r="AE136" s="408"/>
      <c r="AF136" s="408"/>
      <c r="AG136" s="408"/>
      <c r="AH136" s="408"/>
      <c r="AI136" s="408"/>
      <c r="AJ136" s="408"/>
      <c r="AK136" s="408"/>
      <c r="AL136" s="408"/>
      <c r="AM136" s="408"/>
      <c r="AN136" s="408"/>
      <c r="AO136" s="408"/>
    </row>
    <row r="137" spans="1:41" s="491" customFormat="1" x14ac:dyDescent="0.25">
      <c r="A137" s="408"/>
      <c r="B137" s="411"/>
      <c r="C137" s="408"/>
      <c r="D137" s="408"/>
      <c r="E137" s="408"/>
      <c r="F137" s="408"/>
      <c r="G137" s="408"/>
      <c r="H137" s="408"/>
      <c r="I137" s="408"/>
      <c r="J137" s="408"/>
      <c r="K137" s="408"/>
      <c r="L137" s="408"/>
      <c r="M137" s="408"/>
      <c r="N137" s="408"/>
      <c r="O137" s="408"/>
      <c r="P137" s="408"/>
      <c r="Q137" s="408"/>
      <c r="R137" s="408"/>
      <c r="S137" s="408"/>
      <c r="T137" s="408"/>
      <c r="U137" s="408"/>
      <c r="V137" s="408"/>
      <c r="W137" s="408"/>
      <c r="X137" s="408"/>
      <c r="Y137" s="408"/>
      <c r="Z137" s="408"/>
      <c r="AA137" s="408"/>
      <c r="AB137" s="408"/>
      <c r="AC137" s="408"/>
      <c r="AD137" s="408"/>
      <c r="AE137" s="408"/>
      <c r="AF137" s="408"/>
      <c r="AG137" s="408"/>
      <c r="AH137" s="408"/>
      <c r="AI137" s="408"/>
      <c r="AJ137" s="408"/>
      <c r="AK137" s="408"/>
      <c r="AL137" s="408"/>
      <c r="AM137" s="408"/>
      <c r="AN137" s="408"/>
      <c r="AO137" s="408"/>
    </row>
    <row r="138" spans="1:41" s="491" customFormat="1" x14ac:dyDescent="0.25">
      <c r="A138" s="408"/>
      <c r="B138" s="411"/>
      <c r="C138" s="408"/>
      <c r="D138" s="408"/>
      <c r="E138" s="408"/>
      <c r="F138" s="408"/>
      <c r="G138" s="408"/>
      <c r="H138" s="408"/>
      <c r="I138" s="408"/>
      <c r="J138" s="408"/>
      <c r="K138" s="408"/>
      <c r="L138" s="408"/>
      <c r="M138" s="408"/>
      <c r="N138" s="408"/>
      <c r="O138" s="408"/>
      <c r="P138" s="408"/>
      <c r="Q138" s="408"/>
      <c r="R138" s="408"/>
      <c r="S138" s="408"/>
      <c r="T138" s="408"/>
      <c r="U138" s="408"/>
      <c r="V138" s="408"/>
      <c r="W138" s="408"/>
      <c r="X138" s="408"/>
      <c r="Y138" s="408"/>
      <c r="Z138" s="408"/>
      <c r="AA138" s="408"/>
      <c r="AB138" s="408"/>
      <c r="AC138" s="408"/>
      <c r="AD138" s="408"/>
      <c r="AE138" s="408"/>
      <c r="AF138" s="408"/>
      <c r="AG138" s="408"/>
      <c r="AH138" s="408"/>
      <c r="AI138" s="408"/>
      <c r="AJ138" s="408"/>
      <c r="AK138" s="408"/>
      <c r="AL138" s="408"/>
      <c r="AM138" s="408"/>
      <c r="AN138" s="408"/>
      <c r="AO138" s="408"/>
    </row>
    <row r="139" spans="1:41" s="491" customFormat="1" x14ac:dyDescent="0.25">
      <c r="A139" s="408"/>
      <c r="B139" s="411"/>
      <c r="C139" s="408"/>
      <c r="D139" s="408"/>
      <c r="E139" s="408"/>
      <c r="F139" s="408"/>
      <c r="G139" s="408"/>
      <c r="H139" s="408"/>
      <c r="I139" s="408"/>
      <c r="J139" s="408"/>
      <c r="K139" s="408"/>
      <c r="L139" s="408"/>
      <c r="M139" s="408"/>
      <c r="N139" s="408"/>
      <c r="O139" s="408"/>
      <c r="P139" s="408"/>
      <c r="Q139" s="408"/>
      <c r="R139" s="408"/>
      <c r="S139" s="408"/>
      <c r="T139" s="408"/>
      <c r="U139" s="408"/>
      <c r="V139" s="408"/>
      <c r="W139" s="408"/>
      <c r="X139" s="408"/>
      <c r="Y139" s="408"/>
      <c r="Z139" s="408"/>
      <c r="AA139" s="408"/>
      <c r="AB139" s="408"/>
      <c r="AC139" s="408"/>
      <c r="AD139" s="408"/>
      <c r="AE139" s="408"/>
      <c r="AF139" s="408"/>
      <c r="AG139" s="408"/>
      <c r="AH139" s="408"/>
      <c r="AI139" s="408"/>
      <c r="AJ139" s="408"/>
      <c r="AK139" s="408"/>
      <c r="AL139" s="408"/>
      <c r="AM139" s="408"/>
      <c r="AN139" s="408"/>
      <c r="AO139" s="408"/>
    </row>
    <row r="140" spans="1:41" s="491" customFormat="1" x14ac:dyDescent="0.25">
      <c r="A140" s="408"/>
      <c r="B140" s="411"/>
      <c r="C140" s="408"/>
      <c r="D140" s="408"/>
      <c r="E140" s="408"/>
      <c r="F140" s="408"/>
      <c r="G140" s="408"/>
      <c r="H140" s="408"/>
      <c r="I140" s="408"/>
      <c r="J140" s="408"/>
      <c r="K140" s="408"/>
      <c r="L140" s="408"/>
      <c r="M140" s="408"/>
      <c r="N140" s="408"/>
      <c r="O140" s="408"/>
      <c r="P140" s="408"/>
      <c r="Q140" s="408"/>
      <c r="R140" s="408"/>
      <c r="S140" s="408"/>
      <c r="T140" s="408"/>
      <c r="U140" s="408"/>
      <c r="V140" s="408"/>
      <c r="W140" s="408"/>
      <c r="X140" s="408"/>
      <c r="Y140" s="408"/>
      <c r="Z140" s="408"/>
      <c r="AA140" s="408"/>
      <c r="AB140" s="408"/>
      <c r="AC140" s="408"/>
      <c r="AD140" s="408"/>
      <c r="AE140" s="408"/>
      <c r="AF140" s="408"/>
      <c r="AG140" s="408"/>
      <c r="AH140" s="408"/>
      <c r="AI140" s="408"/>
      <c r="AJ140" s="408"/>
      <c r="AK140" s="408"/>
      <c r="AL140" s="408"/>
      <c r="AM140" s="408"/>
      <c r="AN140" s="408"/>
      <c r="AO140" s="408"/>
    </row>
    <row r="141" spans="1:41" s="491" customFormat="1" x14ac:dyDescent="0.25">
      <c r="A141" s="408"/>
      <c r="B141" s="411"/>
      <c r="C141" s="408"/>
      <c r="D141" s="408"/>
      <c r="E141" s="408"/>
      <c r="F141" s="408"/>
      <c r="G141" s="408"/>
      <c r="H141" s="408"/>
      <c r="I141" s="408"/>
      <c r="J141" s="408"/>
      <c r="K141" s="408"/>
      <c r="L141" s="408"/>
      <c r="M141" s="408"/>
      <c r="N141" s="408"/>
      <c r="O141" s="408"/>
      <c r="P141" s="408"/>
      <c r="Q141" s="408"/>
      <c r="R141" s="408"/>
      <c r="S141" s="408"/>
      <c r="T141" s="408"/>
      <c r="U141" s="408"/>
      <c r="V141" s="408"/>
      <c r="W141" s="408"/>
      <c r="X141" s="408"/>
      <c r="Y141" s="408"/>
      <c r="Z141" s="408"/>
      <c r="AA141" s="408"/>
      <c r="AB141" s="408"/>
      <c r="AC141" s="408"/>
      <c r="AD141" s="408"/>
      <c r="AE141" s="408"/>
      <c r="AF141" s="408"/>
      <c r="AG141" s="408"/>
      <c r="AH141" s="408"/>
      <c r="AI141" s="408"/>
      <c r="AJ141" s="408"/>
      <c r="AK141" s="408"/>
      <c r="AL141" s="408"/>
      <c r="AM141" s="408"/>
      <c r="AN141" s="408"/>
      <c r="AO141" s="408"/>
    </row>
    <row r="142" spans="1:41" s="491" customFormat="1" x14ac:dyDescent="0.25">
      <c r="A142" s="408"/>
      <c r="B142" s="411"/>
      <c r="C142" s="408"/>
      <c r="D142" s="408"/>
      <c r="E142" s="408"/>
      <c r="F142" s="408"/>
      <c r="G142" s="408"/>
      <c r="H142" s="408"/>
      <c r="I142" s="408"/>
      <c r="J142" s="408"/>
      <c r="K142" s="408"/>
      <c r="L142" s="408"/>
      <c r="M142" s="408"/>
      <c r="N142" s="408"/>
      <c r="O142" s="408"/>
      <c r="P142" s="408"/>
      <c r="Q142" s="408"/>
      <c r="R142" s="408"/>
      <c r="S142" s="408"/>
      <c r="T142" s="408"/>
      <c r="U142" s="408"/>
      <c r="V142" s="408"/>
      <c r="W142" s="408"/>
      <c r="X142" s="408"/>
      <c r="Y142" s="408"/>
      <c r="Z142" s="408"/>
      <c r="AA142" s="408"/>
      <c r="AB142" s="408"/>
      <c r="AC142" s="408"/>
      <c r="AD142" s="408"/>
      <c r="AE142" s="408"/>
      <c r="AF142" s="408"/>
      <c r="AG142" s="408"/>
      <c r="AH142" s="408"/>
      <c r="AI142" s="408"/>
      <c r="AJ142" s="408"/>
      <c r="AK142" s="408"/>
      <c r="AL142" s="408"/>
      <c r="AM142" s="408"/>
      <c r="AN142" s="408"/>
      <c r="AO142" s="408"/>
    </row>
    <row r="143" spans="1:41" s="491" customFormat="1" x14ac:dyDescent="0.25">
      <c r="A143" s="408"/>
      <c r="B143" s="411"/>
      <c r="C143" s="408"/>
      <c r="D143" s="408"/>
      <c r="E143" s="408"/>
      <c r="F143" s="408"/>
      <c r="G143" s="408"/>
      <c r="H143" s="408"/>
      <c r="I143" s="408"/>
      <c r="J143" s="408"/>
      <c r="K143" s="408"/>
      <c r="L143" s="408"/>
      <c r="M143" s="408"/>
      <c r="N143" s="408"/>
      <c r="O143" s="408"/>
      <c r="P143" s="408"/>
      <c r="Q143" s="408"/>
      <c r="R143" s="408"/>
      <c r="S143" s="408"/>
      <c r="T143" s="408"/>
      <c r="U143" s="408"/>
      <c r="V143" s="408"/>
      <c r="W143" s="408"/>
      <c r="X143" s="408"/>
      <c r="Y143" s="408"/>
      <c r="Z143" s="408"/>
      <c r="AA143" s="408"/>
      <c r="AB143" s="408"/>
      <c r="AC143" s="408"/>
      <c r="AD143" s="408"/>
      <c r="AE143" s="408"/>
      <c r="AF143" s="408"/>
      <c r="AG143" s="408"/>
      <c r="AH143" s="408"/>
      <c r="AI143" s="408"/>
      <c r="AJ143" s="408"/>
      <c r="AK143" s="408"/>
      <c r="AL143" s="408"/>
      <c r="AM143" s="408"/>
      <c r="AN143" s="408"/>
      <c r="AO143" s="408"/>
    </row>
    <row r="144" spans="1:41" s="491" customFormat="1" x14ac:dyDescent="0.25">
      <c r="A144" s="408"/>
      <c r="B144" s="411"/>
      <c r="C144" s="408"/>
      <c r="D144" s="408"/>
      <c r="E144" s="408"/>
      <c r="F144" s="408"/>
      <c r="G144" s="408"/>
      <c r="H144" s="408"/>
      <c r="I144" s="408"/>
      <c r="J144" s="408"/>
      <c r="K144" s="408"/>
      <c r="L144" s="408"/>
      <c r="M144" s="408"/>
      <c r="N144" s="408"/>
      <c r="O144" s="408"/>
      <c r="P144" s="408"/>
      <c r="Q144" s="408"/>
      <c r="R144" s="408"/>
      <c r="S144" s="408"/>
      <c r="T144" s="408"/>
      <c r="U144" s="408"/>
      <c r="V144" s="408"/>
      <c r="W144" s="408"/>
      <c r="X144" s="408"/>
      <c r="Y144" s="408"/>
      <c r="Z144" s="408"/>
      <c r="AA144" s="408"/>
      <c r="AB144" s="408"/>
      <c r="AC144" s="408"/>
      <c r="AD144" s="408"/>
      <c r="AE144" s="408"/>
      <c r="AF144" s="408"/>
      <c r="AG144" s="408"/>
      <c r="AH144" s="408"/>
      <c r="AI144" s="408"/>
      <c r="AJ144" s="408"/>
      <c r="AK144" s="408"/>
      <c r="AL144" s="408"/>
      <c r="AM144" s="408"/>
      <c r="AN144" s="408"/>
      <c r="AO144" s="408"/>
    </row>
    <row r="145" spans="1:16" x14ac:dyDescent="0.3">
      <c r="A145" s="408"/>
      <c r="B145" s="411"/>
      <c r="C145" s="408"/>
      <c r="D145" s="408"/>
      <c r="E145" s="408"/>
      <c r="F145" s="408"/>
      <c r="G145" s="408"/>
      <c r="H145" s="408"/>
      <c r="I145" s="408"/>
      <c r="L145" s="408"/>
      <c r="M145" s="408"/>
      <c r="N145" s="408"/>
      <c r="O145" s="408"/>
      <c r="P145" s="408"/>
    </row>
    <row r="146" spans="1:16" x14ac:dyDescent="0.3">
      <c r="C146" s="408"/>
      <c r="D146" s="408"/>
      <c r="E146" s="408"/>
      <c r="F146" s="408"/>
      <c r="G146" s="408"/>
      <c r="H146" s="408"/>
      <c r="I146" s="408"/>
      <c r="M146" s="408"/>
      <c r="N146" s="408"/>
      <c r="O146" s="408"/>
      <c r="P146" s="408"/>
    </row>
    <row r="147" spans="1:16" x14ac:dyDescent="0.3">
      <c r="C147" s="408"/>
      <c r="D147" s="408"/>
      <c r="E147" s="408"/>
      <c r="F147" s="408"/>
      <c r="G147" s="408"/>
      <c r="H147" s="408"/>
      <c r="I147" s="408"/>
      <c r="M147" s="408"/>
      <c r="N147" s="408"/>
      <c r="O147" s="408"/>
      <c r="P147" s="408"/>
    </row>
    <row r="148" spans="1:16" x14ac:dyDescent="0.3">
      <c r="C148" s="408"/>
      <c r="D148" s="408"/>
      <c r="E148" s="408"/>
      <c r="F148" s="408"/>
      <c r="G148" s="408"/>
      <c r="H148" s="408"/>
      <c r="I148" s="408"/>
      <c r="M148" s="408"/>
      <c r="N148" s="408"/>
      <c r="O148" s="408"/>
      <c r="P148" s="408"/>
    </row>
    <row r="149" spans="1:16" x14ac:dyDescent="0.3">
      <c r="C149" s="408"/>
      <c r="D149" s="408"/>
      <c r="E149" s="408"/>
      <c r="F149" s="408"/>
      <c r="G149" s="408"/>
      <c r="H149" s="408"/>
      <c r="I149" s="408"/>
      <c r="M149" s="408"/>
      <c r="N149" s="408"/>
      <c r="O149" s="408"/>
      <c r="P149" s="408"/>
    </row>
    <row r="150" spans="1:16" x14ac:dyDescent="0.3">
      <c r="C150" s="408"/>
      <c r="D150" s="408"/>
      <c r="E150" s="408"/>
      <c r="F150" s="408"/>
      <c r="G150" s="408"/>
      <c r="H150" s="408"/>
      <c r="I150" s="408"/>
      <c r="M150" s="408"/>
      <c r="N150" s="408"/>
      <c r="O150" s="408"/>
      <c r="P150" s="408"/>
    </row>
    <row r="151" spans="1:16" x14ac:dyDescent="0.3">
      <c r="C151" s="408"/>
      <c r="D151" s="408"/>
      <c r="E151" s="408"/>
      <c r="F151" s="408"/>
      <c r="G151" s="408"/>
      <c r="H151" s="408"/>
      <c r="I151" s="408"/>
      <c r="M151" s="408"/>
      <c r="N151" s="408"/>
      <c r="O151" s="408"/>
      <c r="P151" s="408"/>
    </row>
    <row r="152" spans="1:16" x14ac:dyDescent="0.3">
      <c r="C152" s="408"/>
      <c r="D152" s="408"/>
      <c r="E152" s="408"/>
      <c r="F152" s="408"/>
      <c r="G152" s="408"/>
      <c r="H152" s="408"/>
    </row>
    <row r="153" spans="1:16" x14ac:dyDescent="0.3">
      <c r="C153" s="408"/>
      <c r="D153" s="408"/>
      <c r="E153" s="408"/>
      <c r="F153" s="408"/>
      <c r="G153" s="408"/>
      <c r="H153" s="408"/>
    </row>
  </sheetData>
  <sheetProtection algorithmName="SHA-512" hashValue="Ughu5kgX2Iud+wPuhXQL23VHfETiiv0O+F8+1SX49GqELI9FzBxu7IqQ0j1hlLq9oU6+sWeeEF2NvW2dYIxriw==" saltValue="v7Tg2530EKz6SEJLmnIDnA==" spinCount="100000" sheet="1" objects="1" scenarios="1"/>
  <mergeCells count="35">
    <mergeCell ref="C8:D8"/>
    <mergeCell ref="C1:K1"/>
    <mergeCell ref="B2:D2"/>
    <mergeCell ref="F2:G2"/>
    <mergeCell ref="J2:K2"/>
    <mergeCell ref="A5:B5"/>
    <mergeCell ref="C10:D10"/>
    <mergeCell ref="V11:W11"/>
    <mergeCell ref="I12:J12"/>
    <mergeCell ref="I13:J13"/>
    <mergeCell ref="B13:D13"/>
    <mergeCell ref="V51:W51"/>
    <mergeCell ref="B38:L39"/>
    <mergeCell ref="A27:B27"/>
    <mergeCell ref="B16:D16"/>
    <mergeCell ref="B17:D17"/>
    <mergeCell ref="B18:D18"/>
    <mergeCell ref="V100:X100"/>
    <mergeCell ref="A101:B101"/>
    <mergeCell ref="A102:B102"/>
    <mergeCell ref="V102:X102"/>
    <mergeCell ref="I63:J63"/>
    <mergeCell ref="E77:F77"/>
    <mergeCell ref="A100:B100"/>
    <mergeCell ref="C100:E100"/>
    <mergeCell ref="F100:H100"/>
    <mergeCell ref="I100:K100"/>
    <mergeCell ref="A55:K55"/>
    <mergeCell ref="A59:B59"/>
    <mergeCell ref="A60:B60"/>
    <mergeCell ref="C19:D19"/>
    <mergeCell ref="C12:D12"/>
    <mergeCell ref="J28:K29"/>
    <mergeCell ref="A38:A39"/>
    <mergeCell ref="A42:B42"/>
  </mergeCells>
  <conditionalFormatting sqref="B64 B66 B68 B70 B72 B74">
    <cfRule type="containsText" dxfId="43" priority="11" operator="containsText" text="Information manquante">
      <formula>NOT(ISERROR(SEARCH("Information manquante",B64)))</formula>
    </cfRule>
  </conditionalFormatting>
  <conditionalFormatting sqref="B64">
    <cfRule type="expression" dxfId="42" priority="28">
      <formula>B64=$W$62</formula>
    </cfRule>
  </conditionalFormatting>
  <conditionalFormatting sqref="B66 B68 B70 B72 B74 B64">
    <cfRule type="containsText" dxfId="41" priority="27" operator="containsText" text="S/O">
      <formula>NOT(ISERROR(SEARCH("S/O",B64)))</formula>
    </cfRule>
  </conditionalFormatting>
  <conditionalFormatting sqref="B66">
    <cfRule type="expression" dxfId="40" priority="26">
      <formula>B66=$W$62</formula>
    </cfRule>
    <cfRule type="containsText" dxfId="39" priority="25" operator="containsText" text="S/O">
      <formula>NOT(ISERROR(SEARCH("S/O",B66)))</formula>
    </cfRule>
  </conditionalFormatting>
  <conditionalFormatting sqref="B68">
    <cfRule type="containsText" dxfId="38" priority="23" operator="containsText" text="S/O">
      <formula>NOT(ISERROR(SEARCH("S/O",B68)))</formula>
    </cfRule>
    <cfRule type="expression" dxfId="37" priority="24">
      <formula>B68=$W$62</formula>
    </cfRule>
  </conditionalFormatting>
  <conditionalFormatting sqref="B70">
    <cfRule type="expression" dxfId="36" priority="22">
      <formula>B70=$W$62</formula>
    </cfRule>
  </conditionalFormatting>
  <conditionalFormatting sqref="B72">
    <cfRule type="containsText" dxfId="35" priority="20" operator="containsText" text="S/O">
      <formula>NOT(ISERROR(SEARCH("S/O",B72)))</formula>
    </cfRule>
    <cfRule type="expression" dxfId="34" priority="21">
      <formula>B72=$W$62</formula>
    </cfRule>
  </conditionalFormatting>
  <conditionalFormatting sqref="B74">
    <cfRule type="expression" dxfId="33" priority="19">
      <formula>B74=$W$62</formula>
    </cfRule>
    <cfRule type="containsText" dxfId="32" priority="18" operator="containsText" text="S/O">
      <formula>NOT(ISERROR(SEARCH("S/O",B74)))</formula>
    </cfRule>
  </conditionalFormatting>
  <conditionalFormatting sqref="B13:E13">
    <cfRule type="expression" dxfId="31" priority="3">
      <formula>$E$12&lt;&gt;"oui"</formula>
    </cfRule>
  </conditionalFormatting>
  <conditionalFormatting sqref="B16:E16">
    <cfRule type="expression" dxfId="30" priority="1">
      <formula>$E$12&lt;&gt;"Oui"</formula>
    </cfRule>
  </conditionalFormatting>
  <conditionalFormatting sqref="C12:E12">
    <cfRule type="expression" dxfId="29" priority="2">
      <formula>$E$12&lt;&gt;"Oui"</formula>
    </cfRule>
  </conditionalFormatting>
  <conditionalFormatting sqref="C60:H60">
    <cfRule type="containsText" dxfId="28" priority="29" operator="containsText" text="Non">
      <formula>NOT(ISERROR(SEARCH("Non",C60)))</formula>
    </cfRule>
  </conditionalFormatting>
  <conditionalFormatting sqref="D103 G103 J103 D105 G105 J105 C107:D107 G107 J107">
    <cfRule type="containsText" dxfId="27" priority="58" operator="containsText" text="Non">
      <formula>NOT(ISERROR(SEARCH("Non",C103)))</formula>
    </cfRule>
  </conditionalFormatting>
  <conditionalFormatting sqref="D30:E30">
    <cfRule type="expression" dxfId="26" priority="10">
      <formula>$X$30=1</formula>
    </cfRule>
  </conditionalFormatting>
  <conditionalFormatting sqref="D31:F31">
    <cfRule type="expression" dxfId="25" priority="9">
      <formula>$X$31=1</formula>
    </cfRule>
  </conditionalFormatting>
  <conditionalFormatting sqref="D32:F32">
    <cfRule type="expression" dxfId="24" priority="8">
      <formula>$X$32=1</formula>
    </cfRule>
  </conditionalFormatting>
  <conditionalFormatting sqref="D33:F33">
    <cfRule type="expression" dxfId="23" priority="7">
      <formula>$X$33=1</formula>
    </cfRule>
  </conditionalFormatting>
  <conditionalFormatting sqref="D34:F34">
    <cfRule type="expression" dxfId="22" priority="6">
      <formula>$X$34=1</formula>
    </cfRule>
  </conditionalFormatting>
  <conditionalFormatting sqref="D35:F35">
    <cfRule type="expression" dxfId="21" priority="5">
      <formula>$X$35=1</formula>
    </cfRule>
  </conditionalFormatting>
  <conditionalFormatting sqref="D76:G76 J76:K76">
    <cfRule type="containsText" dxfId="20" priority="57" operator="containsText" text="(4) The indicated Market Contribution exceeds the Maximal Market Contribution.">
      <formula>NOT(ISERROR(SEARCH("(4) The indicated Market Contribution exceeds the Maximal Market Contribution.",D76)))</formula>
    </cfRule>
  </conditionalFormatting>
  <conditionalFormatting sqref="E18">
    <cfRule type="containsText" dxfId="19" priority="47" operator="containsText" text="Non">
      <formula>NOT(ISERROR(SEARCH("Non",E18)))</formula>
    </cfRule>
  </conditionalFormatting>
  <conditionalFormatting sqref="E84:E87">
    <cfRule type="containsText" dxfId="18" priority="31" operator="containsText" text="Non">
      <formula>NOT(ISERROR(SEARCH("Non",E84)))</formula>
    </cfRule>
  </conditionalFormatting>
  <conditionalFormatting sqref="E89:E91">
    <cfRule type="containsText" dxfId="17" priority="37" operator="containsText" text="Non">
      <formula>NOT(ISERROR(SEARCH("Non",E89)))</formula>
    </cfRule>
  </conditionalFormatting>
  <conditionalFormatting sqref="E79:F82">
    <cfRule type="containsText" dxfId="16" priority="55" operator="containsText" text="Non">
      <formula>NOT(ISERROR(SEARCH("Non",E79)))</formula>
    </cfRule>
  </conditionalFormatting>
  <conditionalFormatting sqref="E93:F96">
    <cfRule type="containsText" dxfId="15" priority="30" operator="containsText" text="Non">
      <formula>NOT(ISERROR(SEARCH("Non",E93)))</formula>
    </cfRule>
  </conditionalFormatting>
  <conditionalFormatting sqref="F84:F91">
    <cfRule type="containsText" dxfId="14" priority="54" operator="containsText" text="Non">
      <formula>NOT(ISERROR(SEARCH("Non",F84)))</formula>
    </cfRule>
  </conditionalFormatting>
  <conditionalFormatting sqref="G88">
    <cfRule type="containsText" dxfId="13" priority="32" operator="containsText" text="Non">
      <formula>NOT(ISERROR(SEARCH("Non",G88)))</formula>
    </cfRule>
  </conditionalFormatting>
  <conditionalFormatting sqref="H51">
    <cfRule type="expression" dxfId="12" priority="56">
      <formula>#REF!&lt;&gt;""</formula>
    </cfRule>
  </conditionalFormatting>
  <conditionalFormatting sqref="H64">
    <cfRule type="expression" dxfId="11" priority="17">
      <formula>H63&lt;B63</formula>
    </cfRule>
  </conditionalFormatting>
  <conditionalFormatting sqref="H66">
    <cfRule type="expression" dxfId="10" priority="16">
      <formula>H65&lt;B65</formula>
    </cfRule>
  </conditionalFormatting>
  <conditionalFormatting sqref="H68">
    <cfRule type="expression" dxfId="9" priority="15">
      <formula>H67&lt;B67</formula>
    </cfRule>
  </conditionalFormatting>
  <conditionalFormatting sqref="H70">
    <cfRule type="expression" dxfId="8" priority="14">
      <formula>H69&lt;B69</formula>
    </cfRule>
  </conditionalFormatting>
  <conditionalFormatting sqref="H72">
    <cfRule type="expression" dxfId="7" priority="13">
      <formula>H71&lt;B71</formula>
    </cfRule>
  </conditionalFormatting>
  <conditionalFormatting sqref="H74">
    <cfRule type="expression" dxfId="6" priority="12">
      <formula>H73&lt;B73</formula>
    </cfRule>
  </conditionalFormatting>
  <conditionalFormatting sqref="H52:I52">
    <cfRule type="expression" dxfId="5" priority="4">
      <formula>I52&lt;&gt;""</formula>
    </cfRule>
  </conditionalFormatting>
  <conditionalFormatting sqref="I51:J51">
    <cfRule type="expression" dxfId="4" priority="52">
      <formula>$J$51&lt;&gt;""</formula>
    </cfRule>
  </conditionalFormatting>
  <conditionalFormatting sqref="J30:K35">
    <cfRule type="expression" dxfId="3" priority="39">
      <formula>$D30&gt;0</formula>
    </cfRule>
  </conditionalFormatting>
  <dataValidations count="11">
    <dataValidation type="custom" showInputMessage="1" showErrorMessage="1" error="SVP ne pas supprimer" sqref="A77 J77" xr:uid="{FBFF1F57-FD26-4EFE-B57A-D81C2B79C092}">
      <formula1>""</formula1>
    </dataValidation>
    <dataValidation allowBlank="1" showInputMessage="1" showErrorMessage="1" promptTitle="Entité Int. (CMM)" prompt="Pour E&amp;J : les DDA + la CMM doivent être au moins 75% de l’exigence seuil. Voir aussi la note (3)." sqref="J51" xr:uid="{20D076E8-5A55-48F7-AA71-52A6282E39B2}"/>
    <dataValidation allowBlank="1" showInputMessage="1" showErrorMessage="1" promptTitle="Date" prompt="ex. A-M-J" sqref="G30:G35" xr:uid="{03F994D4-1C98-43DC-AEC5-882DF2820348}"/>
    <dataValidation type="decimal" allowBlank="1" showInputMessage="1" showErrorMessage="1" errorTitle="Not a number" error="Enter the Envelope Contribution for this licence" sqref="C30:C35" xr:uid="{34CC2F1C-CEB0-47DE-BF5A-E6FF112ECEB7}">
      <formula1>0</formula1>
      <formula2>999999999999999</formula2>
    </dataValidation>
    <dataValidation type="whole" allowBlank="1" showInputMessage="1" showErrorMessage="1" promptTitle="Nombre de mois" prompt="Saisir la période en mois. Les équations sont permises (p. ex. : =6*12)" sqref="I30:I35" xr:uid="{CC3BE877-188C-40BC-A752-7DF5D5803FAF}">
      <formula1>1</formula1>
      <formula2>999</formula2>
    </dataValidation>
    <dataValidation type="whole" allowBlank="1" showInputMessage="1" showErrorMessage="1" errorTitle="Not a number" error="Enter the Envelope Contribution for this licence" sqref="E50" xr:uid="{1EA21408-4360-4461-A03F-9C00C9252E4C}">
      <formula1>0</formula1>
      <formula2>999999999999999</formula2>
    </dataValidation>
    <dataValidation type="list" allowBlank="1" showInputMessage="1" showErrorMessage="1" sqref="M17 L16" xr:uid="{694F11FA-615F-4ED2-9D8D-A1811824EA2A}">
      <formula1>$A$89:$A$97</formula1>
    </dataValidation>
    <dataValidation type="decimal" allowBlank="1" showInputMessage="1" showErrorMessage="1" errorTitle="Not a number" error="Enter the Envelope Contribution for this licence" prompt="SVP entrez les télédiffuseurs et distributeurs en premier. Voir note (1) ci-dessus" sqref="F30" xr:uid="{9B49111B-1960-4429-8A06-48856012EA07}">
      <formula1>0</formula1>
      <formula2>999999999999999</formula2>
    </dataValidation>
    <dataValidation type="list" allowBlank="1" showInputMessage="1" showErrorMessage="1" sqref="J30:J35" xr:uid="{962CDDF2-E0A8-45E0-A7A9-460320710F4D}">
      <formula1>$J$79:$J$81</formula1>
    </dataValidation>
    <dataValidation type="list" allowBlank="1" showInputMessage="1" showErrorMessage="1" sqref="K30:K35 E12 E10" xr:uid="{3DAF5976-04AC-4391-A444-16CD7E7BF787}">
      <formula1>$K$79:$K$81</formula1>
    </dataValidation>
    <dataValidation allowBlank="1" showInputMessage="1" showErrorMessage="1" promptTitle="Entité Int. (EFA)" prompt="Pour E&amp;J et doc. : les DDA et l’ADA doivent être 75% de l’exigence seuil au minimum. Voir aussi la note (2)" sqref="I52" xr:uid="{55E2EA8D-E139-4EA7-9D86-1EC063A56640}"/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Drop Down 1">
              <controlPr locked="0" defaultSize="0" autoLine="0" autoPict="0">
                <anchor moveWithCells="1">
                  <from>
                    <xdr:col>2</xdr:col>
                    <xdr:colOff>60960</xdr:colOff>
                    <xdr:row>4</xdr:row>
                    <xdr:rowOff>0</xdr:rowOff>
                  </from>
                  <to>
                    <xdr:col>5</xdr:col>
                    <xdr:colOff>152400</xdr:colOff>
                    <xdr:row>4</xdr:row>
                    <xdr:rowOff>365760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1" operator="containsText" id="{CCFF67F8-56EF-471D-AE7D-FFA7547882E9}">
            <xm:f>NOT(ISERROR(SEARCH("No",W103)))</xm:f>
            <xm:f>"No"</xm:f>
            <x14:dxf>
              <font>
                <color rgb="FFFF0000"/>
              </font>
              <fill>
                <patternFill>
                  <fgColor rgb="FFFFFF00"/>
                  <bgColor rgb="FFFFFF00"/>
                </patternFill>
              </fill>
            </x14:dxf>
          </x14:cfRule>
          <xm:sqref>W103:W107</xm:sqref>
        </x14:conditionalFormatting>
        <x14:conditionalFormatting xmlns:xm="http://schemas.microsoft.com/office/excel/2006/main">
          <x14:cfRule type="containsText" priority="50" operator="containsText" id="{C77C314F-9C40-4F29-A579-7C50EC585689}">
            <xm:f>NOT(ISERROR(SEARCH("No",X104)))</xm:f>
            <xm:f>"No"</xm:f>
            <x14:dxf>
              <font>
                <color rgb="FFFF0000"/>
              </font>
              <fill>
                <patternFill>
                  <fgColor rgb="FFFFFF00"/>
                  <bgColor rgb="FFFFFF00"/>
                </patternFill>
              </fill>
            </x14:dxf>
          </x14:cfRule>
          <xm:sqref>X104</xm:sqref>
        </x14:conditionalFormatting>
        <x14:conditionalFormatting xmlns:xm="http://schemas.microsoft.com/office/excel/2006/main">
          <x14:cfRule type="containsText" priority="49" operator="containsText" id="{84C560CC-DB12-4F38-8F44-A6140CC319CC}">
            <xm:f>NOT(ISERROR(SEARCH("No",X106)))</xm:f>
            <xm:f>"No"</xm:f>
            <x14:dxf>
              <font>
                <color rgb="FFFF0000"/>
              </font>
              <fill>
                <patternFill>
                  <fgColor rgb="FFFFFF00"/>
                  <bgColor rgb="FFFFFF00"/>
                </patternFill>
              </fill>
            </x14:dxf>
          </x14:cfRule>
          <xm:sqref>X106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2bf855-4b99-4523-8a28-c0526f8a6830">
      <Terms xmlns="http://schemas.microsoft.com/office/infopath/2007/PartnerControls"/>
    </lcf76f155ced4ddcb4097134ff3c332f>
    <TaxCatchAll xmlns="484c8c59-755d-4516-b8d2-1621b38262b4">
      <Value>16</Value>
      <Value>12</Value>
    </TaxCatchAll>
    <_dlc_DocId xmlns="e27b0c4a-e52c-4a9d-a1f2-444a905929e2">CMFPA-1271669082-30895</_dlc_DocId>
    <_dlc_DocIdUrl xmlns="e27b0c4a-e52c-4a9d-a1f2-444a905929e2">
      <Url>https://telefilm.sharepoint.com/sites/T_APFMC-CMFPA/_layouts/15/DocIdRedir.aspx?ID=CMFPA-1271669082-30895</Url>
      <Description>CMFPA-1271669082-30895</Description>
    </_dlc_DocIdUrl>
    <TfSourcePath xmlns="94ffc4b0-5353-4349-8cc3-8e471de1b72c" xsi:nil="true"/>
    <IconOverlay xmlns="http://schemas.microsoft.com/sharepoint/v4" xsi:nil="true"/>
    <c1c276be9cfa481895358bbd606e8e03 xmlns="ecb119d4-d563-4bdc-ad82-2d690c88c5f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APFMC</TermName>
          <TermId xmlns="http://schemas.microsoft.com/office/infopath/2007/PartnerControls">5e323734-3c20-4f43-979b-7ae025a18a69</TermId>
        </TermInfo>
      </Terms>
    </c1c276be9cfa481895358bbd606e8e03>
    <TfRevision xmlns="94ffc4b0-5353-4349-8cc3-8e471de1b72c" xsi:nil="true"/>
    <f5f81750012343d1806eba8e7b10aae7 xmlns="ecb119d4-d563-4bdc-ad82-2d690c88c5f7">
      <Terms xmlns="http://schemas.microsoft.com/office/infopath/2007/PartnerControls"/>
    </f5f81750012343d1806eba8e7b10aae7>
    <f2915d3f92ea4bb79247451729792765 xmlns="ecb119d4-d563-4bdc-ad82-2d690c88c5f7">
      <Terms xmlns="http://schemas.microsoft.com/office/infopath/2007/PartnerControls"/>
    </f2915d3f92ea4bb79247451729792765>
    <j5f5c22b761e4082b8e8a133044a7d58 xmlns="ecb119d4-d563-4bdc-ad82-2d690c88c5f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Analysis and Contracting</TermName>
          <TermId xmlns="http://schemas.microsoft.com/office/infopath/2007/PartnerControls">f8978233-d840-4582-836a-26dd0dc426dc</TermId>
        </TermInfo>
      </Terms>
    </j5f5c22b761e4082b8e8a133044a7d58>
    <TfPeriod xmlns="94ffc4b0-5353-4349-8cc3-8e471de1b72c" xsi:nil="true"/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TeleDoc" ma:contentTypeID="0x0101007C0EA845696D1948BDEEFC7B350361630100B08C5A147E46AA43866F3438FE350128" ma:contentTypeVersion="24" ma:contentTypeDescription="Create a new document." ma:contentTypeScope="" ma:versionID="39fbdf46a9865b6b76d1204b5852872f">
  <xsd:schema xmlns:xsd="http://www.w3.org/2001/XMLSchema" xmlns:xs="http://www.w3.org/2001/XMLSchema" xmlns:p="http://schemas.microsoft.com/office/2006/metadata/properties" xmlns:ns2="ecb119d4-d563-4bdc-ad82-2d690c88c5f7" xmlns:ns3="484c8c59-755d-4516-b8d2-1621b38262b4" xmlns:ns4="e27b0c4a-e52c-4a9d-a1f2-444a905929e2" xmlns:ns5="94ffc4b0-5353-4349-8cc3-8e471de1b72c" xmlns:ns6="7b2bf855-4b99-4523-8a28-c0526f8a6830" xmlns:ns7="http://schemas.microsoft.com/sharepoint/v4" targetNamespace="http://schemas.microsoft.com/office/2006/metadata/properties" ma:root="true" ma:fieldsID="5898535b504524cc298469d0c983656a" ns2:_="" ns3:_="" ns4:_="" ns5:_="" ns6:_="" ns7:_="">
    <xsd:import namespace="ecb119d4-d563-4bdc-ad82-2d690c88c5f7"/>
    <xsd:import namespace="484c8c59-755d-4516-b8d2-1621b38262b4"/>
    <xsd:import namespace="e27b0c4a-e52c-4a9d-a1f2-444a905929e2"/>
    <xsd:import namespace="94ffc4b0-5353-4349-8cc3-8e471de1b72c"/>
    <xsd:import namespace="7b2bf855-4b99-4523-8a28-c0526f8a6830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c1c276be9cfa481895358bbd606e8e03" minOccurs="0"/>
                <xsd:element ref="ns3:TaxCatchAll" minOccurs="0"/>
                <xsd:element ref="ns3:TaxCatchAllLabel" minOccurs="0"/>
                <xsd:element ref="ns2:j5f5c22b761e4082b8e8a133044a7d58" minOccurs="0"/>
                <xsd:element ref="ns5:TfRevision" minOccurs="0"/>
                <xsd:element ref="ns5:TfPeriod" minOccurs="0"/>
                <xsd:element ref="ns2:f5f81750012343d1806eba8e7b10aae7" minOccurs="0"/>
                <xsd:element ref="ns2:f2915d3f92ea4bb79247451729792765" minOccurs="0"/>
                <xsd:element ref="ns5:TfSourcePath" minOccurs="0"/>
                <xsd:element ref="ns6:MediaServiceMetadata" minOccurs="0"/>
                <xsd:element ref="ns6:MediaServiceFastMetadata" minOccurs="0"/>
                <xsd:element ref="ns4:SharedWithUsers" minOccurs="0"/>
                <xsd:element ref="ns4:SharedWithDetails" minOccurs="0"/>
                <xsd:element ref="ns6:MediaServiceAutoKeyPoints" minOccurs="0"/>
                <xsd:element ref="ns6:MediaServiceDateTaken" minOccurs="0"/>
                <xsd:element ref="ns6:MediaLengthInSeconds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7:IconOverlay" minOccurs="0"/>
                <xsd:element ref="ns4:_dlc_DocId" minOccurs="0"/>
                <xsd:element ref="ns4:_dlc_DocIdUrl" minOccurs="0"/>
                <xsd:element ref="ns4:_dlc_DocIdPersistId" minOccurs="0"/>
                <xsd:element ref="ns6:lcf76f155ced4ddcb4097134ff3c332f" minOccurs="0"/>
                <xsd:element ref="ns6:MediaServiceObjectDetectorVersions" minOccurs="0"/>
                <xsd:element ref="ns6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119d4-d563-4bdc-ad82-2d690c88c5f7" elementFormDefault="qualified">
    <xsd:import namespace="http://schemas.microsoft.com/office/2006/documentManagement/types"/>
    <xsd:import namespace="http://schemas.microsoft.com/office/infopath/2007/PartnerControls"/>
    <xsd:element name="c1c276be9cfa481895358bbd606e8e03" ma:index="8" nillable="true" ma:taxonomy="true" ma:internalName="c1c276be9cfa481895358bbd606e8e03" ma:taxonomyFieldName="TfBusinessProcess" ma:displayName="Business Process" ma:default="" ma:fieldId="{c1c276be-9cfa-4818-9535-8bbd606e8e03}" ma:sspId="7f0aa716-bba0-4bb8-a561-918f9f9bf113" ma:termSetId="ed0ad9fd-18c4-4ad5-951f-e822bc0acbc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f5c22b761e4082b8e8a133044a7d58" ma:index="12" nillable="true" ma:taxonomy="true" ma:internalName="j5f5c22b761e4082b8e8a133044a7d58" ma:taxonomyFieldName="TfClassification" ma:displayName="Classification" ma:default="" ma:fieldId="{35f5c22b-761e-4082-b8e8-a133044a7d58}" ma:sspId="7f0aa716-bba0-4bb8-a561-918f9f9bf113" ma:termSetId="2113eb4f-eb0a-42e0-91a3-4320612ce358" ma:anchorId="4488faba-ddb0-4a07-bab3-5b07a01bbda2" ma:open="false" ma:isKeyword="false">
      <xsd:complexType>
        <xsd:sequence>
          <xsd:element ref="pc:Terms" minOccurs="0" maxOccurs="1"/>
        </xsd:sequence>
      </xsd:complexType>
    </xsd:element>
    <xsd:element name="f5f81750012343d1806eba8e7b10aae7" ma:index="16" nillable="true" ma:taxonomy="true" ma:internalName="f5f81750012343d1806eba8e7b10aae7" ma:taxonomyFieldName="TfDocType" ma:displayName="Document Type" ma:default="" ma:fieldId="{f5f81750-0123-43d1-806e-ba8e7b10aae7}" ma:sspId="7f0aa716-bba0-4bb8-a561-918f9f9bf113" ma:termSetId="516db3bc-1f56-4005-9466-6bd52177fb3d" ma:anchorId="4488faba-ddb0-4a07-bab3-5b07a01bbda2" ma:open="false" ma:isKeyword="false">
      <xsd:complexType>
        <xsd:sequence>
          <xsd:element ref="pc:Terms" minOccurs="0" maxOccurs="1"/>
        </xsd:sequence>
      </xsd:complexType>
    </xsd:element>
    <xsd:element name="f2915d3f92ea4bb79247451729792765" ma:index="18" nillable="true" ma:taxonomy="true" ma:internalName="f2915d3f92ea4bb79247451729792765" ma:taxonomyFieldName="TfProject" ma:displayName="Project" ma:default="" ma:fieldId="{f2915d3f-92ea-4bb7-9247-451729792765}" ma:sspId="7f0aa716-bba0-4bb8-a561-918f9f9bf113" ma:termSetId="496cdf85-4955-4878-95d4-a5a02def46d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c8c59-755d-4516-b8d2-1621b38262b4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8d0a488d-ccec-4866-9823-061a664d4d51}" ma:internalName="TaxCatchAll" ma:showField="CatchAllData" ma:web="e27b0c4a-e52c-4a9d-a1f2-444a905929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8d0a488d-ccec-4866-9823-061a664d4d51}" ma:internalName="TaxCatchAllLabel" ma:readOnly="true" ma:showField="CatchAllDataLabel" ma:web="e27b0c4a-e52c-4a9d-a1f2-444a905929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7b0c4a-e52c-4a9d-a1f2-444a905929e2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32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33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4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ffc4b0-5353-4349-8cc3-8e471de1b72c" elementFormDefault="qualified">
    <xsd:import namespace="http://schemas.microsoft.com/office/2006/documentManagement/types"/>
    <xsd:import namespace="http://schemas.microsoft.com/office/infopath/2007/PartnerControls"/>
    <xsd:element name="TfRevision" ma:index="14" nillable="true" ma:displayName="Document Revision" ma:internalName="TfRevision" ma:readOnly="false" ma:percentage="FALSE">
      <xsd:simpleType>
        <xsd:restriction base="dms:Number"/>
      </xsd:simpleType>
    </xsd:element>
    <xsd:element name="TfPeriod" ma:index="15" nillable="true" ma:displayName="Period" ma:format="DateOnly" ma:internalName="TfPeriod" ma:readOnly="false">
      <xsd:simpleType>
        <xsd:restriction base="dms:DateTime"/>
      </xsd:simpleType>
    </xsd:element>
    <xsd:element name="TfSourcePath" ma:index="20" nillable="true" ma:displayName="Source Path" ma:internalName="TfSourcePath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2bf855-4b99-4523-8a28-c0526f8a68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DateTaken" ma:index="2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6" nillable="true" ma:taxonomy="true" ma:internalName="lcf76f155ced4ddcb4097134ff3c332f" ma:taxonomyFieldName="MediaServiceImageTags" ma:displayName="Balises d’images" ma:readOnly="false" ma:fieldId="{5cf76f15-5ced-4ddc-b409-7134ff3c332f}" ma:taxonomyMulti="true" ma:sspId="7f0aa716-bba0-4bb8-a561-918f9f9bf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758206-B560-42EC-A4CC-D7E95417425A}">
  <ds:schemaRefs>
    <ds:schemaRef ds:uri="http://purl.org/dc/elements/1.1/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dc2e72fa-f2bf-4b7e-897e-98e66666beee"/>
    <ds:schemaRef ds:uri="http://schemas.microsoft.com/office/2006/metadata/properties"/>
    <ds:schemaRef ds:uri="995c7fa0-c7ce-4135-b1bb-e7af7b680b45"/>
    <ds:schemaRef ds:uri="http://schemas.microsoft.com/office/infopath/2007/PartnerControls"/>
    <ds:schemaRef ds:uri="http://schemas.openxmlformats.org/package/2006/metadata/core-properties"/>
    <ds:schemaRef ds:uri="7b2bf855-4b99-4523-8a28-c0526f8a6830"/>
    <ds:schemaRef ds:uri="484c8c59-755d-4516-b8d2-1621b38262b4"/>
    <ds:schemaRef ds:uri="e27b0c4a-e52c-4a9d-a1f2-444a905929e2"/>
    <ds:schemaRef ds:uri="94ffc4b0-5353-4349-8cc3-8e471de1b72c"/>
    <ds:schemaRef ds:uri="http://schemas.microsoft.com/sharepoint/v4"/>
    <ds:schemaRef ds:uri="ecb119d4-d563-4bdc-ad82-2d690c88c5f7"/>
  </ds:schemaRefs>
</ds:datastoreItem>
</file>

<file path=customXml/itemProps2.xml><?xml version="1.0" encoding="utf-8"?>
<ds:datastoreItem xmlns:ds="http://schemas.openxmlformats.org/officeDocument/2006/customXml" ds:itemID="{E09875A8-3A76-45B8-B0A0-6E30A254166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75C3807-BA35-4B6B-BBAE-734FE68C8C3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62FF4EA-BB42-4114-8E0D-0A96121F3C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b119d4-d563-4bdc-ad82-2d690c88c5f7"/>
    <ds:schemaRef ds:uri="484c8c59-755d-4516-b8d2-1621b38262b4"/>
    <ds:schemaRef ds:uri="e27b0c4a-e52c-4a9d-a1f2-444a905929e2"/>
    <ds:schemaRef ds:uri="94ffc4b0-5353-4349-8cc3-8e471de1b72c"/>
    <ds:schemaRef ds:uri="7b2bf855-4b99-4523-8a28-c0526f8a6830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AMI</vt:lpstr>
      <vt:lpstr>PLFMM</vt:lpstr>
      <vt:lpstr>AMI!Zone_d_impression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2012-05-02T16:23:31Z</dcterms:created>
  <dcterms:modified xsi:type="dcterms:W3CDTF">2026-04-21T19:45:23Z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0x0101007C0EA845696D1948BDEEFC7B350361630100B08C5A147E46AA43866F3438FE350128</vt:lpwstr>
  </property>
  <property fmtid="{D5CDD505-2E9C-101B-9397-08002B2CF9AE}" pid="3" name="_dlc_DocIdItemGuid">
    <vt:lpwstr>2476d12d-029e-4ca0-a45a-c13fd726c656</vt:lpwstr>
  </property>
  <property fmtid="{D5CDD505-2E9C-101B-9397-08002B2CF9AE}" pid="4" name="MediaServiceImageTags">
    <vt:lpwstr/>
  </property>
  <property fmtid="{D5CDD505-2E9C-101B-9397-08002B2CF9AE}" pid="5" name="TfBusinessProcess">
    <vt:lpwstr>12;#APFMC|5e323734-3c20-4f43-979b-7ae025a18a69</vt:lpwstr>
  </property>
  <property fmtid="{D5CDD505-2E9C-101B-9397-08002B2CF9AE}" pid="6" name="TfClassification">
    <vt:lpwstr>16;#Analysis and Contracting|f8978233-d840-4582-836a-26dd0dc426dc</vt:lpwstr>
  </property>
  <property fmtid="{D5CDD505-2E9C-101B-9397-08002B2CF9AE}" pid="7" name="TfDocType">
    <vt:lpwstr/>
  </property>
  <property fmtid="{D5CDD505-2E9C-101B-9397-08002B2CF9AE}" pid="8" name="TfProject">
    <vt:lpwstr/>
  </property>
</Properties>
</file>