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47" documentId="13_ncr:1_{DD6625F1-5023-4C20-8D70-6F34E0F1E03E}" xr6:coauthVersionLast="47" xr6:coauthVersionMax="47" xr10:uidLastSave="{2ECE2D05-04A7-4A28-8C67-AFBF466E110D}"/>
  <bookViews>
    <workbookView xWindow="28680" yWindow="-120" windowWidth="29040" windowHeight="15840" xr2:uid="{00000000-000D-0000-FFFF-FFFF00000000}"/>
  </bookViews>
  <sheets>
    <sheet name="ENGLISH" sheetId="1" r:id="rId1"/>
    <sheet name="FRANÇAIS" sheetId="6" r:id="rId2"/>
    <sheet name="AUTOCHTONE, DIVERSITÉ-FR" sheetId="2" state="hidden" r:id="rId3"/>
  </sheets>
  <definedNames>
    <definedName name="_xlnm.Print_Area" localSheetId="2">'AUTOCHTONE, DIVERSITÉ-FR'!$A$1:$O$83</definedName>
    <definedName name="_xlnm.Print_Area" localSheetId="0">ENGLISH!$A$1:$O$82</definedName>
    <definedName name="_xlnm.Print_Area" localSheetId="1">FRANÇAIS!$A$1:$O$82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K9" i="6" l="1"/>
  <c r="E26" i="1" l="1"/>
  <c r="F26" i="1"/>
  <c r="D10" i="6" l="1"/>
  <c r="D10" i="1"/>
  <c r="C19" i="6" l="1"/>
  <c r="J76" i="6" s="1"/>
  <c r="C19" i="1"/>
  <c r="K76" i="6" l="1"/>
  <c r="L76" i="6" s="1"/>
  <c r="E33" i="6"/>
  <c r="C26" i="6"/>
  <c r="G76" i="6" l="1"/>
  <c r="H76" i="6" s="1"/>
  <c r="I76" i="6" s="1"/>
  <c r="C26" i="1"/>
  <c r="G76" i="1" s="1"/>
  <c r="J76" i="1" s="1"/>
  <c r="E33" i="1" s="1"/>
  <c r="B76" i="1"/>
  <c r="D76" i="6" l="1"/>
  <c r="K76" i="1"/>
  <c r="L76" i="1" s="1"/>
  <c r="D26" i="1"/>
  <c r="H76" i="1" l="1"/>
  <c r="I76" i="1" s="1"/>
  <c r="D76" i="1"/>
  <c r="E76" i="1" s="1"/>
  <c r="D65" i="1"/>
  <c r="F76" i="1" l="1"/>
  <c r="E40" i="1"/>
  <c r="C40" i="1" l="1"/>
  <c r="C33" i="1"/>
  <c r="E39" i="1"/>
  <c r="E34" i="1"/>
  <c r="E35" i="1"/>
  <c r="E38" i="1"/>
  <c r="E36" i="1"/>
  <c r="E37" i="1"/>
  <c r="B46" i="6"/>
  <c r="H46" i="6" s="1"/>
  <c r="G34" i="6" s="1"/>
  <c r="B46" i="1"/>
  <c r="B76" i="6"/>
  <c r="D56" i="6"/>
  <c r="B56" i="6"/>
  <c r="D54" i="6"/>
  <c r="B54" i="6"/>
  <c r="D52" i="6"/>
  <c r="B52" i="6"/>
  <c r="D50" i="6"/>
  <c r="B50" i="6"/>
  <c r="D48" i="6"/>
  <c r="B48" i="6"/>
  <c r="K46" i="6"/>
  <c r="W39" i="6"/>
  <c r="B39" i="6"/>
  <c r="W38" i="6"/>
  <c r="B38" i="6"/>
  <c r="W37" i="6"/>
  <c r="B37" i="6"/>
  <c r="W36" i="6"/>
  <c r="B36" i="6"/>
  <c r="W35" i="6"/>
  <c r="B35" i="6"/>
  <c r="W34" i="6"/>
  <c r="X35" i="6" s="1"/>
  <c r="B34" i="6"/>
  <c r="E26" i="6"/>
  <c r="D26" i="6"/>
  <c r="H25" i="6"/>
  <c r="H24" i="6"/>
  <c r="H23" i="6"/>
  <c r="H22" i="6"/>
  <c r="H21" i="6"/>
  <c r="V34" i="6"/>
  <c r="H20" i="6"/>
  <c r="K5" i="6"/>
  <c r="H50" i="6"/>
  <c r="G36" i="6" s="1"/>
  <c r="V37" i="6"/>
  <c r="V35" i="6"/>
  <c r="V38" i="6"/>
  <c r="D46" i="6"/>
  <c r="V39" i="6"/>
  <c r="H56" i="6"/>
  <c r="G39" i="6" s="1"/>
  <c r="H54" i="6"/>
  <c r="G38" i="6" s="1"/>
  <c r="V36" i="6"/>
  <c r="H52" i="6"/>
  <c r="G37" i="6" s="1"/>
  <c r="H48" i="6"/>
  <c r="G35" i="6" s="1"/>
  <c r="E67" i="2"/>
  <c r="E65" i="2"/>
  <c r="E64" i="2"/>
  <c r="D67" i="2"/>
  <c r="D65" i="2"/>
  <c r="D64" i="2"/>
  <c r="J74" i="2"/>
  <c r="J77" i="2"/>
  <c r="D77" i="2"/>
  <c r="G77" i="2"/>
  <c r="H77" i="2"/>
  <c r="M75" i="2"/>
  <c r="G75" i="2"/>
  <c r="M74" i="2"/>
  <c r="G74" i="2"/>
  <c r="A64" i="2"/>
  <c r="B80" i="2"/>
  <c r="B81" i="2"/>
  <c r="B82" i="2"/>
  <c r="B79" i="2"/>
  <c r="E43" i="2"/>
  <c r="D74" i="2"/>
  <c r="H74" i="2"/>
  <c r="I74" i="2"/>
  <c r="J75" i="2"/>
  <c r="K77" i="2"/>
  <c r="L77" i="2"/>
  <c r="H75" i="2"/>
  <c r="I75" i="2"/>
  <c r="I77" i="2"/>
  <c r="N75" i="2"/>
  <c r="O75" i="2"/>
  <c r="N74" i="2"/>
  <c r="O74" i="2"/>
  <c r="F64" i="2"/>
  <c r="C43" i="2"/>
  <c r="D75" i="2"/>
  <c r="E75" i="2"/>
  <c r="B77" i="2"/>
  <c r="B76" i="2"/>
  <c r="B75" i="2"/>
  <c r="B74" i="2"/>
  <c r="B73" i="2"/>
  <c r="H58" i="2"/>
  <c r="G41" i="2"/>
  <c r="H41" i="2"/>
  <c r="D58" i="2"/>
  <c r="B58" i="2"/>
  <c r="H56" i="2"/>
  <c r="D56" i="2"/>
  <c r="B56" i="2"/>
  <c r="H54" i="2"/>
  <c r="G39" i="2"/>
  <c r="H39" i="2"/>
  <c r="D54" i="2"/>
  <c r="B54" i="2"/>
  <c r="H52" i="2"/>
  <c r="G38" i="2"/>
  <c r="H38" i="2"/>
  <c r="D52" i="2"/>
  <c r="B52" i="2"/>
  <c r="H50" i="2"/>
  <c r="G37" i="2"/>
  <c r="H37" i="2"/>
  <c r="D50" i="2"/>
  <c r="B50" i="2"/>
  <c r="K48" i="2"/>
  <c r="D48" i="2"/>
  <c r="B48" i="2"/>
  <c r="H48" i="2"/>
  <c r="G36" i="2"/>
  <c r="J41" i="2"/>
  <c r="I41" i="2"/>
  <c r="B41" i="2"/>
  <c r="J40" i="2"/>
  <c r="I40" i="2"/>
  <c r="G40" i="2"/>
  <c r="H40" i="2"/>
  <c r="B40" i="2"/>
  <c r="J39" i="2"/>
  <c r="I39" i="2"/>
  <c r="B39" i="2"/>
  <c r="J38" i="2"/>
  <c r="I38" i="2"/>
  <c r="B38" i="2"/>
  <c r="J37" i="2"/>
  <c r="I37" i="2"/>
  <c r="B37" i="2"/>
  <c r="J36" i="2"/>
  <c r="I36" i="2"/>
  <c r="B36" i="2"/>
  <c r="D28" i="2"/>
  <c r="C28" i="2"/>
  <c r="E77" i="2"/>
  <c r="F27" i="2"/>
  <c r="F26" i="2"/>
  <c r="F25" i="2"/>
  <c r="F24" i="2"/>
  <c r="F23" i="2"/>
  <c r="F22" i="2"/>
  <c r="F10" i="2"/>
  <c r="K7" i="2"/>
  <c r="K11" i="2"/>
  <c r="E74" i="2"/>
  <c r="F74" i="2"/>
  <c r="F75" i="2"/>
  <c r="K41" i="2"/>
  <c r="F58" i="2"/>
  <c r="K40" i="2"/>
  <c r="F56" i="2"/>
  <c r="K37" i="2"/>
  <c r="F50" i="2"/>
  <c r="K38" i="2"/>
  <c r="F52" i="2"/>
  <c r="E16" i="2"/>
  <c r="F77" i="2"/>
  <c r="E35" i="2"/>
  <c r="F43" i="2"/>
  <c r="G42" i="2"/>
  <c r="H36" i="2"/>
  <c r="H42" i="2"/>
  <c r="K39" i="2"/>
  <c r="F54" i="2"/>
  <c r="K74" i="2"/>
  <c r="L74" i="2"/>
  <c r="K75" i="2"/>
  <c r="L75" i="2"/>
  <c r="F67" i="2"/>
  <c r="F65" i="2"/>
  <c r="E42" i="2"/>
  <c r="E37" i="2"/>
  <c r="C42" i="2"/>
  <c r="C35" i="2"/>
  <c r="D35" i="2"/>
  <c r="F35" i="2"/>
  <c r="E40" i="2"/>
  <c r="E38" i="2"/>
  <c r="E39" i="2"/>
  <c r="E41" i="2"/>
  <c r="E36" i="2"/>
  <c r="D42" i="2"/>
  <c r="C39" i="2"/>
  <c r="D39" i="2"/>
  <c r="C38" i="2"/>
  <c r="D38" i="2"/>
  <c r="F38" i="2"/>
  <c r="C40" i="2"/>
  <c r="D40" i="2"/>
  <c r="F40" i="2"/>
  <c r="C41" i="2"/>
  <c r="D41" i="2"/>
  <c r="F41" i="2"/>
  <c r="C37" i="2"/>
  <c r="D37" i="2"/>
  <c r="F37" i="2"/>
  <c r="C36" i="2"/>
  <c r="D36" i="2"/>
  <c r="V34" i="1"/>
  <c r="F36" i="2"/>
  <c r="F39" i="2"/>
  <c r="F42" i="2"/>
  <c r="W35" i="1"/>
  <c r="W36" i="1"/>
  <c r="W37" i="1"/>
  <c r="W38" i="1"/>
  <c r="W39" i="1"/>
  <c r="W34" i="1"/>
  <c r="X35" i="1" s="1"/>
  <c r="D56" i="1"/>
  <c r="D54" i="1"/>
  <c r="D52" i="1"/>
  <c r="D50" i="1"/>
  <c r="D48" i="1"/>
  <c r="D46" i="1"/>
  <c r="B48" i="1"/>
  <c r="K5" i="1"/>
  <c r="K7" i="1" s="1"/>
  <c r="H20" i="1"/>
  <c r="B50" i="1"/>
  <c r="H50" i="1" s="1"/>
  <c r="G36" i="1" s="1"/>
  <c r="B52" i="1"/>
  <c r="B54" i="1"/>
  <c r="H54" i="1" s="1"/>
  <c r="G38" i="1" s="1"/>
  <c r="H56" i="1"/>
  <c r="G39" i="1" s="1"/>
  <c r="H25" i="1"/>
  <c r="H24" i="1"/>
  <c r="H23" i="1"/>
  <c r="H22" i="1"/>
  <c r="H21" i="1"/>
  <c r="K46" i="1"/>
  <c r="B56" i="1"/>
  <c r="V39" i="1"/>
  <c r="B39" i="1"/>
  <c r="V38" i="1"/>
  <c r="B38" i="1"/>
  <c r="B37" i="1"/>
  <c r="B36" i="1"/>
  <c r="B35" i="1"/>
  <c r="B34" i="1"/>
  <c r="H52" i="1"/>
  <c r="G37" i="1" s="1"/>
  <c r="V37" i="1"/>
  <c r="V36" i="1"/>
  <c r="H48" i="1"/>
  <c r="G35" i="1" s="1"/>
  <c r="V35" i="1"/>
  <c r="L34" i="6" l="1"/>
  <c r="J34" i="6"/>
  <c r="K9" i="1"/>
  <c r="L9" i="1" s="1"/>
  <c r="D33" i="1"/>
  <c r="F33" i="1" s="1"/>
  <c r="C39" i="1"/>
  <c r="C36" i="1"/>
  <c r="C35" i="1"/>
  <c r="C38" i="1"/>
  <c r="C37" i="1"/>
  <c r="C34" i="1"/>
  <c r="X38" i="6"/>
  <c r="F54" i="6" s="1"/>
  <c r="E76" i="6"/>
  <c r="F76" i="6" s="1"/>
  <c r="D65" i="6"/>
  <c r="E65" i="6" s="1"/>
  <c r="H46" i="1"/>
  <c r="G34" i="1" s="1"/>
  <c r="F48" i="1"/>
  <c r="X36" i="1"/>
  <c r="F50" i="1" s="1"/>
  <c r="X39" i="1"/>
  <c r="F56" i="1" s="1"/>
  <c r="X37" i="1"/>
  <c r="F52" i="1" s="1"/>
  <c r="X38" i="1"/>
  <c r="F54" i="1" s="1"/>
  <c r="X36" i="6"/>
  <c r="F50" i="6" s="1"/>
  <c r="X39" i="6"/>
  <c r="F56" i="6" s="1"/>
  <c r="F48" i="6"/>
  <c r="L9" i="6"/>
  <c r="K7" i="6"/>
  <c r="X37" i="6"/>
  <c r="F52" i="6" s="1"/>
  <c r="G40" i="6"/>
  <c r="H42" i="6" l="1"/>
  <c r="I42" i="6"/>
  <c r="F65" i="6"/>
  <c r="H65" i="6"/>
  <c r="I40" i="6" s="1"/>
  <c r="G65" i="6"/>
  <c r="H40" i="6" s="1"/>
  <c r="L34" i="1"/>
  <c r="J34" i="1"/>
  <c r="G40" i="1"/>
  <c r="E65" i="1" s="1"/>
  <c r="E40" i="6"/>
  <c r="I36" i="6" l="1"/>
  <c r="I39" i="6"/>
  <c r="I37" i="6"/>
  <c r="I35" i="6"/>
  <c r="I38" i="6"/>
  <c r="H38" i="6"/>
  <c r="H35" i="6"/>
  <c r="H37" i="6"/>
  <c r="H39" i="6"/>
  <c r="H36" i="6"/>
  <c r="C33" i="6"/>
  <c r="C40" i="6"/>
  <c r="K40" i="6"/>
  <c r="H42" i="1"/>
  <c r="E37" i="6"/>
  <c r="E35" i="6"/>
  <c r="E34" i="6"/>
  <c r="E36" i="6"/>
  <c r="E38" i="6"/>
  <c r="E39" i="6"/>
  <c r="D40" i="6"/>
  <c r="D38" i="1"/>
  <c r="F38" i="1" s="1"/>
  <c r="D39" i="1"/>
  <c r="F39" i="1" s="1"/>
  <c r="D35" i="1"/>
  <c r="F35" i="1" s="1"/>
  <c r="D36" i="1"/>
  <c r="F36" i="1" s="1"/>
  <c r="D34" i="1"/>
  <c r="F34" i="1" s="1"/>
  <c r="D37" i="1"/>
  <c r="F37" i="1" s="1"/>
  <c r="D40" i="1"/>
  <c r="L37" i="6" l="1"/>
  <c r="J37" i="6"/>
  <c r="L35" i="6"/>
  <c r="J35" i="6"/>
  <c r="L38" i="6"/>
  <c r="J38" i="6"/>
  <c r="D33" i="6"/>
  <c r="F33" i="6"/>
  <c r="L36" i="6"/>
  <c r="J36" i="6"/>
  <c r="L39" i="6"/>
  <c r="J39" i="6"/>
  <c r="G65" i="1"/>
  <c r="H40" i="1" s="1"/>
  <c r="F40" i="1"/>
  <c r="C34" i="6"/>
  <c r="C39" i="6"/>
  <c r="C36" i="6"/>
  <c r="C37" i="6"/>
  <c r="C35" i="6"/>
  <c r="C38" i="6"/>
  <c r="L40" i="6" l="1"/>
  <c r="D36" i="6"/>
  <c r="F36" i="6"/>
  <c r="D39" i="6"/>
  <c r="F39" i="6"/>
  <c r="D34" i="6"/>
  <c r="F34" i="6"/>
  <c r="D38" i="6"/>
  <c r="F38" i="6" s="1"/>
  <c r="D35" i="6"/>
  <c r="F35" i="6" s="1"/>
  <c r="J40" i="6"/>
  <c r="D37" i="6"/>
  <c r="F37" i="6"/>
  <c r="H65" i="1"/>
  <c r="I40" i="1" s="1"/>
  <c r="I35" i="1" s="1"/>
  <c r="I42" i="1"/>
  <c r="H39" i="1"/>
  <c r="H38" i="1"/>
  <c r="H37" i="1"/>
  <c r="H36" i="1"/>
  <c r="H35" i="1"/>
  <c r="F65" i="1" l="1"/>
  <c r="F40" i="6"/>
  <c r="I37" i="1"/>
  <c r="L37" i="1" s="1"/>
  <c r="K40" i="1"/>
  <c r="I36" i="1"/>
  <c r="J36" i="1" s="1"/>
  <c r="I39" i="1"/>
  <c r="J39" i="1" s="1"/>
  <c r="I38" i="1"/>
  <c r="J38" i="1" s="1"/>
  <c r="L35" i="1"/>
  <c r="J35" i="1"/>
  <c r="L38" i="1" l="1"/>
  <c r="L36" i="1"/>
  <c r="J37" i="1"/>
  <c r="J40" i="1" s="1"/>
  <c r="L39" i="1"/>
  <c r="L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5C895982-A196-417B-957C-B9FE75F2E853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8F05D6B3-55E1-446C-B483-F65F82AD3147}">
      <text>
        <r>
          <rPr>
            <b/>
            <sz val="9"/>
            <color indexed="81"/>
            <rFont val="Tahoma"/>
            <family val="2"/>
          </rPr>
          <t>If Yes, enter here the amount for the Broadcaster Envelope Program – English and French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1380D034-8472-46A6-82C7-6BEBCC71D5E7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</text>
    </comment>
    <comment ref="C11" authorId="0" shapeId="0" xr:uid="{D65B4426-4AEE-42CA-A671-2375F2C624A5}">
      <text>
        <r>
          <rPr>
            <b/>
            <sz val="9"/>
            <color indexed="81"/>
            <rFont val="Tahoma"/>
            <family val="2"/>
          </rPr>
          <t>Si oui, veuillez entrer le montant du Programme des enveloppes des télédiffuseurs — Langue anglaise et langue française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E82EAF2A-C971-472D-82E2-EACE22A9B0DF}">
      <text>
        <r>
          <rPr>
            <b/>
            <sz val="9"/>
            <color indexed="81"/>
            <rFont val="Tahoma"/>
            <family val="2"/>
          </rPr>
          <t xml:space="preserve">Doit être les dépenses admissibles canadiennes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E90913EA-2745-43A8-AA51-B5E5DB125A03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330DA3CD-E587-4B77-8A60-E339A03B963F}">
      <text>
        <r>
          <rPr>
            <b/>
            <sz val="9"/>
            <color indexed="81"/>
            <rFont val="Tahoma"/>
            <family val="2"/>
          </rPr>
          <t>Maximum PE Contribution %
60% for all in 2020-2021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07FA15B-03F7-44ED-BD3D-F7405FE3255C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</commentList>
</comments>
</file>

<file path=xl/sharedStrings.xml><?xml version="1.0" encoding="utf-8"?>
<sst xmlns="http://schemas.openxmlformats.org/spreadsheetml/2006/main" count="449" uniqueCount="227">
  <si>
    <t>Project
Name:</t>
  </si>
  <si>
    <t>Project No:</t>
  </si>
  <si>
    <t>Date :</t>
  </si>
  <si>
    <t>Please complete all green cells</t>
  </si>
  <si>
    <t>Budget/Final Cost</t>
  </si>
  <si>
    <t>Total Hours</t>
  </si>
  <si>
    <t>Are all Broadcasters Educational?</t>
  </si>
  <si>
    <t>Yes</t>
  </si>
  <si>
    <t>Genre ?</t>
  </si>
  <si>
    <t xml:space="preserve">Budget/Hour </t>
  </si>
  <si>
    <t>Carbon Calculator Required?</t>
  </si>
  <si>
    <t>End of Term Date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</si>
  <si>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</si>
  <si>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</si>
  <si>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</si>
  <si>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</si>
  <si>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</si>
  <si>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</si>
  <si>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</si>
  <si>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</si>
  <si>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Total:</t>
  </si>
  <si>
    <t>Notes:</t>
  </si>
  <si>
    <t xml:space="preserve">Eligible CMF Contribution </t>
  </si>
  <si>
    <t>% CMF Contribution of Budget</t>
  </si>
  <si>
    <t>Total Eligible Triggering Commitment</t>
  </si>
  <si>
    <t>Adjusted Term Length</t>
  </si>
  <si>
    <t>Adjusted Exclusivity</t>
  </si>
  <si>
    <t>Revised Start Date of Term</t>
  </si>
  <si>
    <t>N/A</t>
  </si>
  <si>
    <t>Licence Term Calculation:</t>
  </si>
  <si>
    <t>÷</t>
  </si>
  <si>
    <t>x</t>
  </si>
  <si>
    <t>=</t>
  </si>
  <si>
    <t>Last Day of Maximum Term:</t>
  </si>
  <si>
    <t>Total Licence</t>
  </si>
  <si>
    <t>Term Months</t>
  </si>
  <si>
    <t>Maximum Term</t>
  </si>
  <si>
    <t>Pro-Rated Amount</t>
  </si>
  <si>
    <t>Budget Category</t>
  </si>
  <si>
    <t>Formula</t>
  </si>
  <si>
    <t>Threshold Respected?</t>
  </si>
  <si>
    <t>Documentary</t>
  </si>
  <si>
    <t>Diverses Languages</t>
  </si>
  <si>
    <t>Children and Youth</t>
  </si>
  <si>
    <t>Drama</t>
  </si>
  <si>
    <t>No</t>
  </si>
  <si>
    <t>Variety and Performing Arts</t>
  </si>
  <si>
    <t>Maximum CMF Contribution:</t>
  </si>
  <si>
    <t>Max. Contribution Respected?</t>
  </si>
  <si>
    <t>Over</t>
  </si>
  <si>
    <t>***</t>
  </si>
  <si>
    <t>Titre du projet :</t>
  </si>
  <si>
    <t>No du projet :</t>
  </si>
  <si>
    <t>Complétez toutes les cellules vertes</t>
  </si>
  <si>
    <t xml:space="preserve">Devis /Coût final de production </t>
  </si>
  <si>
    <t>Nombre d'épisodes</t>
  </si>
  <si>
    <t>Nombre total d'heures</t>
  </si>
  <si>
    <t>Oui</t>
  </si>
  <si>
    <t>Devis/Heure</t>
  </si>
  <si>
    <r>
      <t xml:space="preserve">Y a-t-il une mesure incitative </t>
    </r>
    <r>
      <rPr>
        <b/>
        <sz val="10"/>
        <rFont val="Calibri"/>
        <family val="2"/>
        <scheme val="minor"/>
      </rPr>
      <t>?</t>
    </r>
  </si>
  <si>
    <t>Calculateur de carbone requis ?</t>
  </si>
  <si>
    <t>(1) : Entrez les licences par ordre croissant de début des droits</t>
  </si>
  <si>
    <t>Droits de diffusion admissibles</t>
  </si>
  <si>
    <t>Date de fin de la période</t>
  </si>
  <si>
    <t>Durée de la période (en mois)</t>
  </si>
  <si>
    <t>Langue</t>
  </si>
  <si>
    <t>n° 1</t>
  </si>
  <si>
    <t>n° 2</t>
  </si>
  <si>
    <t>n° 3</t>
  </si>
  <si>
    <t>n° 4</t>
  </si>
  <si>
    <t>n° 5</t>
  </si>
  <si>
    <t>n° 6</t>
  </si>
  <si>
    <t>Totaux :</t>
  </si>
  <si>
    <t>Remarques :</t>
  </si>
  <si>
    <t>Montant admissible du supplément de droits de diffusion</t>
  </si>
  <si>
    <t>Contribution totale admissible du FMC</t>
  </si>
  <si>
    <t xml:space="preserve"> % Contribution du FMC sur le devis</t>
  </si>
  <si>
    <t xml:space="preserve">% Droits de diffusion sur le devis </t>
  </si>
  <si>
    <t>Total pour les déclencheurs admissibles</t>
  </si>
  <si>
    <t>Selectif $</t>
  </si>
  <si>
    <t>Calcul de la durée des droits de diffusion :</t>
  </si>
  <si>
    <t>Dernier jour de la durée maximale</t>
  </si>
  <si>
    <t>Montant total des droits de diffusion</t>
  </si>
  <si>
    <t>Durée 
(en mois)</t>
  </si>
  <si>
    <t>Durée maximale</t>
  </si>
  <si>
    <t>Montant proportionnel</t>
  </si>
  <si>
    <t>Catégorie de devis</t>
  </si>
  <si>
    <t>Formule</t>
  </si>
  <si>
    <t>Calcul du montant</t>
  </si>
  <si>
    <t xml:space="preserve">Exigence seuil respectée ? </t>
  </si>
  <si>
    <t>Montant excédentaire
OU
(insuffisant)</t>
  </si>
  <si>
    <t xml:space="preserve">     * AUTOCHTONE *</t>
  </si>
  <si>
    <t>Enfants et Jeunesses</t>
  </si>
  <si>
    <t>Autres projets autochtones</t>
  </si>
  <si>
    <t>Variétés et Arts de la scène</t>
  </si>
  <si>
    <t xml:space="preserve">     * LANGUES DIVERSES *</t>
  </si>
  <si>
    <t>Projets de langues diverses</t>
  </si>
  <si>
    <t>Non</t>
  </si>
  <si>
    <t>Contributions maximales :</t>
  </si>
  <si>
    <t>Contribution maximale respectée ?</t>
  </si>
  <si>
    <t>Montant excédentaire</t>
  </si>
  <si>
    <r>
      <rPr>
        <b/>
        <sz val="12"/>
        <rFont val="Calibri"/>
        <family val="2"/>
        <scheme val="minor"/>
      </rPr>
      <t xml:space="preserve">2022-2023 - Feuille de calcul des exigences seuil en matière de droits de diffusion, de la contribution et durée maximale  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Programme de langues diverses  </t>
    </r>
    <r>
      <rPr>
        <b/>
        <sz val="14"/>
        <rFont val="Calibri"/>
        <family val="2"/>
      </rPr>
      <t>•</t>
    </r>
    <r>
      <rPr>
        <b/>
        <sz val="14"/>
        <rFont val="Calibri"/>
        <family val="2"/>
        <scheme val="minor"/>
      </rPr>
      <t xml:space="preserve">  Programme autochtone</t>
    </r>
  </si>
  <si>
    <t>No du projet:</t>
  </si>
  <si>
    <t>Devis/Coût final de production</t>
  </si>
  <si>
    <t>Durée des épisodes (en min.)</t>
  </si>
  <si>
    <t>Cette demande est-elle combinée avec l'ERT ?</t>
  </si>
  <si>
    <t>Contribution de l'ERT</t>
  </si>
  <si>
    <t>Contribution - Autochtone ou Langues Diverses</t>
  </si>
  <si>
    <t xml:space="preserve">(2) : Outre le montant de l'ERT, entrez le montant total du Programme autochtone ou de langues diverses surr la ligne 22C </t>
  </si>
  <si>
    <r>
      <t xml:space="preserve">Nom du télédiffuseur </t>
    </r>
    <r>
      <rPr>
        <b/>
        <sz val="10"/>
        <color rgb="FFFF0000"/>
        <rFont val="Calibri"/>
        <family val="2"/>
        <scheme val="minor"/>
      </rPr>
      <t>(1)</t>
    </r>
  </si>
  <si>
    <r>
      <t xml:space="preserve">Contribution </t>
    </r>
    <r>
      <rPr>
        <b/>
        <sz val="10"/>
        <color rgb="FFFF0000"/>
        <rFont val="Calibri"/>
        <family val="2"/>
        <scheme val="minor"/>
      </rPr>
      <t>(2)</t>
    </r>
    <r>
      <rPr>
        <b/>
        <sz val="10"/>
        <rFont val="Calibri"/>
        <family val="2"/>
        <scheme val="minor"/>
      </rPr>
      <t xml:space="preserve"> du FMC </t>
    </r>
  </si>
  <si>
    <r>
      <t xml:space="preserve">Date de début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la période </t>
    </r>
    <r>
      <rPr>
        <b/>
        <sz val="10"/>
        <color rgb="FFFF0000"/>
        <rFont val="Calibri"/>
        <family val="2"/>
        <scheme val="minor"/>
      </rPr>
      <t>(1)</t>
    </r>
  </si>
  <si>
    <t>Date de fin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la période</t>
  </si>
  <si>
    <t>Durée de la période            (en mois)</t>
  </si>
  <si>
    <t>Exclusivité</t>
  </si>
  <si>
    <t>Durées maximales, contributions et droits de diffusion admissibles :</t>
  </si>
  <si>
    <t>Nom du télédiffuseur</t>
  </si>
  <si>
    <r>
      <t xml:space="preserve">Montant admissible de la participation au capital </t>
    </r>
    <r>
      <rPr>
        <b/>
        <sz val="10"/>
        <color rgb="FFFF0000"/>
        <rFont val="Calibri"/>
        <family val="2"/>
        <scheme val="minor"/>
      </rPr>
      <t>(3)</t>
    </r>
  </si>
  <si>
    <t>Contribution totale du FMC</t>
  </si>
  <si>
    <t>Durée ajustée</t>
  </si>
  <si>
    <t>Durée d'exclusivité  ajustée</t>
  </si>
  <si>
    <t>Date révisée du début de la durée</t>
  </si>
  <si>
    <t>S/O</t>
  </si>
  <si>
    <t>Totals:</t>
  </si>
  <si>
    <t>(3) : La participation au capital inférieure à 100 000 $ est automatiquement convertie en supplément de droits de diffusion</t>
  </si>
  <si>
    <t>Exigence seuil en matière de droits de diffusion :</t>
  </si>
  <si>
    <t>Montant excédentaire     OU           (insuffisant)</t>
  </si>
  <si>
    <t>Bonus de production régionale anglaise</t>
  </si>
  <si>
    <t xml:space="preserve">Dramatique ou Animation </t>
  </si>
  <si>
    <t>Incitatif pour les minorités anglophones</t>
  </si>
  <si>
    <t>Incitatif du Nord</t>
  </si>
  <si>
    <t>Production régionale de langue française au Québec</t>
  </si>
  <si>
    <t>Contribution FMC</t>
  </si>
  <si>
    <t>Programmes sélectifs : Langues diverses et Autochtones</t>
  </si>
  <si>
    <t>ERT</t>
  </si>
  <si>
    <r>
      <t>Mesures incitatives</t>
    </r>
    <r>
      <rPr>
        <b/>
        <sz val="10"/>
        <color rgb="FFFF0000"/>
        <rFont val="Calibri"/>
        <family val="2"/>
        <scheme val="minor"/>
      </rPr>
      <t>***</t>
    </r>
  </si>
  <si>
    <t>Maximum                 FMC</t>
  </si>
  <si>
    <t>Maximum  programme sélectif</t>
  </si>
  <si>
    <t>Maximum          ERT</t>
  </si>
  <si>
    <t xml:space="preserve"> Maximum Mesures incitatives</t>
  </si>
  <si>
    <t>60% des coûts admissibles (Max 750,000$) ou 84% si Programmes combinés</t>
  </si>
  <si>
    <t>60% des coûts admissibles (Max 550,000$) ou 84% si Programmes combinés</t>
  </si>
  <si>
    <t>49% des coûts admissibles (Max 200,000$) ou 84% si Programmes combinés</t>
  </si>
  <si>
    <t xml:space="preserve">15% des dépenses admissibles  (Max 1,000,000$) </t>
  </si>
  <si>
    <t xml:space="preserve">15% des dépenses admissibles  (Max 900,000$) </t>
  </si>
  <si>
    <t xml:space="preserve">30% des dépenses admissibles  (Max 200,000$) </t>
  </si>
  <si>
    <t>15% des dépenses admissibles  (Max 225,000$)  -- réduit le maximum ERT</t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</si>
  <si>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</si>
  <si>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t>Date:</t>
  </si>
  <si>
    <r>
      <t xml:space="preserve">Start of Term Date </t>
    </r>
    <r>
      <rPr>
        <b/>
        <sz val="10"/>
        <color theme="3"/>
        <rFont val="Calibri"/>
        <family val="2"/>
        <scheme val="minor"/>
      </rPr>
      <t>(1)</t>
    </r>
  </si>
  <si>
    <t>Eligible Triggering Commitment Threshold:</t>
  </si>
  <si>
    <t>Exigence seuil pour les déclencheurs admissibles :</t>
  </si>
  <si>
    <r>
      <t xml:space="preserve">Exclusivity 
(In Months) 
</t>
    </r>
    <r>
      <rPr>
        <b/>
        <sz val="10"/>
        <color theme="3"/>
        <rFont val="Calibri"/>
        <family val="2"/>
        <scheme val="minor"/>
      </rPr>
      <t>(3)</t>
    </r>
  </si>
  <si>
    <r>
      <t xml:space="preserve">Montant admissible de la participation au capital </t>
    </r>
    <r>
      <rPr>
        <b/>
        <sz val="10"/>
        <color rgb="FF1F497D"/>
        <rFont val="Calibri"/>
        <family val="2"/>
        <scheme val="minor"/>
      </rPr>
      <t>(4)</t>
    </r>
  </si>
  <si>
    <t>Documentaires</t>
  </si>
  <si>
    <t>Sous-total :</t>
  </si>
  <si>
    <t>Maximum</t>
  </si>
  <si>
    <t>Dramatiques</t>
  </si>
  <si>
    <t>Remarques :</t>
  </si>
  <si>
    <t>Contribution maximale :</t>
  </si>
  <si>
    <t>(3): If the project has licences in different languages, do not complete the "Exclusivity" column</t>
  </si>
  <si>
    <t>Genre?</t>
  </si>
  <si>
    <t>Diverse Languages Projects</t>
  </si>
  <si>
    <t>CMF Contribution</t>
  </si>
  <si>
    <t>Broadcaster Envelope Program
Diverse Languages</t>
  </si>
  <si>
    <t>Broadcaster Envelope Program
English and French</t>
  </si>
  <si>
    <t>Contribution du FMC</t>
  </si>
  <si>
    <t>Programme des enveloppes des télédiffuseurs
Diversité linguistique</t>
  </si>
  <si>
    <t>Programme des enveloppes des télédiffuseurs
Langue anglaise et langue française</t>
  </si>
  <si>
    <t/>
  </si>
  <si>
    <t>Broadcaster Envelope Program – English and French</t>
  </si>
  <si>
    <r>
      <t>Is this application combined with the Broadcaster Envelope Program – English and French</t>
    </r>
    <r>
      <rPr>
        <b/>
        <sz val="10"/>
        <rFont val="Calibri"/>
        <family val="2"/>
        <scheme val="minor"/>
      </rPr>
      <t>?</t>
    </r>
  </si>
  <si>
    <r>
      <t xml:space="preserve">CMF Contribution
</t>
    </r>
    <r>
      <rPr>
        <b/>
        <sz val="10"/>
        <color rgb="FF1F497D"/>
        <rFont val="Calibri"/>
        <family val="2"/>
        <scheme val="minor"/>
      </rPr>
      <t>(Enter the Diverse Languages env. amounts)</t>
    </r>
  </si>
  <si>
    <t>Programme des enveloppes des télédiffuseurs — Langue anglaise et langue française</t>
  </si>
  <si>
    <t>Le projet reçoit-il une allocation des enveloppes des télédiffuseurs — Langue anglaise et langue française ?</t>
  </si>
  <si>
    <t>Programme des env. des télédiffuseurs — Langue anglaise et langue française</t>
  </si>
  <si>
    <r>
      <t xml:space="preserve">Contribution du FMC
</t>
    </r>
    <r>
      <rPr>
        <b/>
        <sz val="10"/>
        <color rgb="FF1F497D"/>
        <rFont val="Calibri"/>
        <family val="2"/>
        <scheme val="minor"/>
      </rPr>
      <t>(Entrez les env. de diversité linguistique)</t>
    </r>
  </si>
  <si>
    <t>Contribution maximale respectée?</t>
  </si>
  <si>
    <t>Calculated 
Amount</t>
  </si>
  <si>
    <t>Over OR 
(Shortfall)</t>
  </si>
  <si>
    <t>Maximum Licence Fee Top-Up</t>
  </si>
  <si>
    <t>Number of 
Episodes</t>
  </si>
  <si>
    <t>Episode Length 
(in Min.)</t>
  </si>
  <si>
    <r>
      <rPr>
        <b/>
        <sz val="12"/>
        <rFont val="Calibri"/>
        <family val="2"/>
        <scheme val="minor"/>
      </rPr>
      <t>2025-2026 - Triggering Commitment Thresholds, Maximum Contribution and Term Calculation Sheet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 Broadcaster Envelope Program – Diverse Languages</t>
    </r>
  </si>
  <si>
    <t>(1): Enter Canadian broadcasters and licences first and in order of start of term dates</t>
  </si>
  <si>
    <t>For the Canadian Broadcaster(s)</t>
  </si>
  <si>
    <t>Distribution Advance
 (Intl. Right)</t>
  </si>
  <si>
    <t>International Entity
(Intl. Right)  Children &amp; Youth only</t>
  </si>
  <si>
    <t>Canadian
Eligible Licence Fee
(ELF)</t>
  </si>
  <si>
    <r>
      <t xml:space="preserve">Distributor </t>
    </r>
    <r>
      <rPr>
        <b/>
        <sz val="10"/>
        <color rgb="FF1F497D"/>
        <rFont val="Calibri"/>
        <family val="2"/>
        <scheme val="minor"/>
      </rPr>
      <t>(3)</t>
    </r>
  </si>
  <si>
    <r>
      <t xml:space="preserve">Intl. Entity
Children &amp; Youth only </t>
    </r>
    <r>
      <rPr>
        <b/>
        <sz val="10"/>
        <color rgb="FF1F497D"/>
        <rFont val="Calibri"/>
        <family val="2"/>
        <scheme val="minor"/>
      </rPr>
      <t>(3)</t>
    </r>
  </si>
  <si>
    <t>ELF &amp; MMC
% of Budget</t>
  </si>
  <si>
    <t>Surplus
Non-trigger amounts</t>
  </si>
  <si>
    <t>MMC</t>
  </si>
  <si>
    <t>Distributor</t>
  </si>
  <si>
    <t xml:space="preserve">International Entity </t>
  </si>
  <si>
    <t>MMC allowable</t>
  </si>
  <si>
    <t>(3): Only the portion required to meet Threshold will appear in the MMC columns (H or I)</t>
  </si>
  <si>
    <t>Maximum Terms, CMF Contributions, Eligible Licence Fees and Minimum Market Contribution (MMC):</t>
  </si>
  <si>
    <t>Maximum  Investment</t>
  </si>
  <si>
    <t>(1) : Entrez les licences en premier et par ordre croissant de début des droits</t>
  </si>
  <si>
    <t>(2) : Lorsque le projet cumule des licences en plusieurs langues, ne pas compléter la colonne "Exclusivité"</t>
  </si>
  <si>
    <t>Pour chaque télédiffuseur canadien</t>
  </si>
  <si>
    <t>Avance de distribution
(droits int.)</t>
  </si>
  <si>
    <t>Entité internationale
(droits int.)
Enfants et jeunes seulement</t>
  </si>
  <si>
    <r>
      <t xml:space="preserve">Exclusivité 
(en mois) </t>
    </r>
    <r>
      <rPr>
        <b/>
        <sz val="10"/>
        <color rgb="FF1F497D"/>
        <rFont val="Calibri"/>
        <family val="2"/>
        <scheme val="minor"/>
      </rPr>
      <t>(2)</t>
    </r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</si>
  <si>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</si>
  <si>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 xml:space="preserve">Broadcaster 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</si>
  <si>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Droits de diffusion admissibles (DDA)
canadiens</t>
  </si>
  <si>
    <r>
      <t xml:space="preserve">Distributeur
CMM </t>
    </r>
    <r>
      <rPr>
        <b/>
        <sz val="10"/>
        <color theme="3"/>
        <rFont val="Calibri"/>
        <family val="2"/>
        <scheme val="minor"/>
      </rPr>
      <t>(3)</t>
    </r>
  </si>
  <si>
    <r>
      <t xml:space="preserve">Entité internationale
Enfants et jeunes (E&amp;J) </t>
    </r>
    <r>
      <rPr>
        <b/>
        <sz val="10"/>
        <color rgb="FF1F497D"/>
        <rFont val="Calibri"/>
        <family val="2"/>
        <scheme val="minor"/>
      </rPr>
      <t>(3)</t>
    </r>
  </si>
  <si>
    <t xml:space="preserve"> % sur le devis des
DDA &amp; CMM</t>
  </si>
  <si>
    <t>Surplus
Montants non déclencheurs</t>
  </si>
  <si>
    <r>
      <t>Nom du télédiffuseur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</si>
  <si>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</si>
  <si>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(3) : Seul le montant requis pour atteindre l'exigence seuil apparaîtra dans les colonnes des CMM (H ou I)</t>
  </si>
  <si>
    <t>Durées maximales, contributions du FMC, Droits de diffusion admissibles et Contribution minimale du marché (« CMM ») :</t>
  </si>
  <si>
    <t>CMM permise</t>
  </si>
  <si>
    <t>Distributeur</t>
  </si>
  <si>
    <t>Entité internationale</t>
  </si>
  <si>
    <t>*Reminder: Use of the Alternative Access Allocation requires an accompanying minimum Eligible Licence Fee of $5,000 in the application (see section 3.2 of the Broadcaster Envelope Manual)</t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</si>
  <si>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</si>
  <si>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t>*Rappel : pour avoir recours aux enveloppes de l’accès parallèle, il faudra avoir obtenu un droit de diffusion admissible d’au moins 5 000 $ au moment du dépôt de la demande (voir la section 3.2 du Guide des enveloppes des télédiffuseurs)</t>
  </si>
  <si>
    <r>
      <t xml:space="preserve">Droits de diffusion admissibles canadiens </t>
    </r>
    <r>
      <rPr>
        <b/>
        <sz val="10"/>
        <color theme="3"/>
        <rFont val="Calibri"/>
        <family val="2"/>
        <scheme val="minor"/>
      </rPr>
      <t>(1)*</t>
    </r>
  </si>
  <si>
    <t>49% of Eligible Costs
Combined Programs
49% of Eligible Costs</t>
  </si>
  <si>
    <t>49 % des dépenses admissibles 
Programmes combinés
49% des dépenses admissibles.</t>
  </si>
  <si>
    <r>
      <t xml:space="preserve">2025-2026 - Feuille de calcul des exigences seuil pour les déclencheurs admissibles, de la contribution et durée maximale
</t>
    </r>
    <r>
      <rPr>
        <b/>
        <sz val="14"/>
        <rFont val="Calibri"/>
        <family val="2"/>
        <scheme val="minor"/>
      </rPr>
      <t>Programme des enveloppes des télédiffuseurs — Diversité linguistique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</si>
</sst>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$&quot;_);\(#,##0\ &quot;$&quot;\)"/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yyyy/mm/dd;@"/>
    <numFmt numFmtId="175" formatCode=";;;"/>
    <numFmt numFmtId="176" formatCode="[$$-1009]#,##0;\-[$$-1009]#,##0"/>
    <numFmt numFmtId="177" formatCode="_ * #,##0_)\ &quot;$&quot;_ ;_ * \(#,##0\)\ &quot;$&quot;_ ;_ * &quot;-&quot;??_)\ &quot;$&quot;_ ;_ @_ "/>
    <numFmt numFmtId="178" formatCode="[$-40C]d\-mmm\-yyyy;@"/>
    <numFmt numFmtId="179" formatCode="#,##0\ [$$-C0C]_);[Red]\(#,##0\ [$$-C0C]\)"/>
    <numFmt numFmtId="180" formatCode="_ * #,##0_)\ [$$-C0C]_ ;_ * \(#,##0\)\ [$$-C0C]_ ;_ * &quot;-&quot;??_)\ [$$-C0C]_ ;_ @_ "/>
    <numFmt numFmtId="181" formatCode="#,##0\ [$$-C0C]_);\(#,##0\ [$$-C0C]\)"/>
    <numFmt numFmtId="182" formatCode="[$$-1009]#,##0;[Red]\-[$$-1009]#,##0"/>
  </numFmts>
  <fonts count="70" x14ac:knownFonts="1">
    <font>
      <sz val="12"/>
      <name val="Arial"/>
    </font>
    <font>
      <sz val="12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i/>
      <sz val="16"/>
      <color rgb="FF00B050"/>
      <name val="Arial"/>
      <family val="2"/>
    </font>
    <font>
      <sz val="16"/>
      <color rgb="FFFF0000"/>
      <name val="Arial"/>
      <family val="2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i/>
      <strike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4"/>
      <name val="Calibri"/>
      <family val="2"/>
    </font>
    <font>
      <sz val="10"/>
      <color rgb="FF0070C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name val="Arial"/>
      <family val="2"/>
    </font>
    <font>
      <b/>
      <i/>
      <sz val="10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2"/>
      <color rgb="FF1F497D"/>
      <name val="Arial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  <font>
      <sz val="9"/>
      <color rgb="FF1F497D"/>
      <name val="Arial"/>
      <family val="2"/>
    </font>
    <font>
      <sz val="9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1F497D"/>
      <name val="Calibri"/>
      <family val="2"/>
    </font>
    <font>
      <b/>
      <i/>
      <sz val="10"/>
      <color theme="3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65" fontId="8" fillId="0" borderId="0" xfId="2" applyFont="1" applyFill="1" applyBorder="1" applyAlignment="1" applyProtection="1">
      <alignment horizontal="left" vertical="center" wrapText="1"/>
    </xf>
    <xf numFmtId="165" fontId="11" fillId="0" borderId="0" xfId="2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175" fontId="4" fillId="0" borderId="0" xfId="0" applyNumberFormat="1" applyFont="1" applyAlignment="1" applyProtection="1">
      <alignment horizontal="right" vertical="center" wrapText="1"/>
      <protection locked="0"/>
    </xf>
    <xf numFmtId="17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2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9" fontId="28" fillId="3" borderId="5" xfId="3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>
      <alignment horizontal="right" vertical="center" wrapText="1"/>
    </xf>
    <xf numFmtId="0" fontId="30" fillId="0" borderId="0" xfId="0" applyFont="1"/>
    <xf numFmtId="0" fontId="25" fillId="0" borderId="0" xfId="0" applyFont="1"/>
    <xf numFmtId="0" fontId="31" fillId="0" borderId="0" xfId="0" applyFont="1"/>
    <xf numFmtId="0" fontId="32" fillId="0" borderId="5" xfId="0" applyFont="1" applyBorder="1" applyAlignment="1">
      <alignment horizontal="center" vertical="center" wrapText="1"/>
    </xf>
    <xf numFmtId="0" fontId="27" fillId="0" borderId="0" xfId="0" applyFont="1"/>
    <xf numFmtId="0" fontId="33" fillId="0" borderId="0" xfId="0" applyFont="1"/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6" fontId="31" fillId="0" borderId="0" xfId="2" applyNumberFormat="1" applyFont="1" applyFill="1" applyBorder="1" applyAlignment="1" applyProtection="1">
      <alignment horizontal="center" vertical="center" wrapText="1"/>
    </xf>
    <xf numFmtId="165" fontId="31" fillId="0" borderId="0" xfId="2" applyFont="1" applyFill="1" applyBorder="1" applyAlignment="1" applyProtection="1">
      <alignment horizontal="center" vertical="center" wrapText="1"/>
    </xf>
    <xf numFmtId="37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4" fillId="6" borderId="4" xfId="0" applyFont="1" applyFill="1" applyBorder="1" applyAlignment="1">
      <alignment horizontal="left" vertical="center"/>
    </xf>
    <xf numFmtId="0" fontId="31" fillId="6" borderId="4" xfId="0" applyFont="1" applyFill="1" applyBorder="1" applyAlignment="1">
      <alignment horizontal="right" vertical="center" wrapText="1"/>
    </xf>
    <xf numFmtId="165" fontId="31" fillId="6" borderId="4" xfId="2" applyFont="1" applyFill="1" applyBorder="1" applyAlignment="1" applyProtection="1">
      <alignment horizontal="right" vertical="center" wrapText="1"/>
    </xf>
    <xf numFmtId="165" fontId="31" fillId="6" borderId="4" xfId="2" applyFont="1" applyFill="1" applyBorder="1" applyAlignment="1" applyProtection="1">
      <alignment vertical="center" wrapText="1"/>
    </xf>
    <xf numFmtId="0" fontId="30" fillId="0" borderId="4" xfId="0" applyFont="1" applyBorder="1" applyAlignment="1">
      <alignment vertical="center"/>
    </xf>
    <xf numFmtId="167" fontId="36" fillId="0" borderId="0" xfId="3" applyNumberFormat="1" applyFont="1" applyFill="1" applyBorder="1" applyAlignment="1" applyProtection="1">
      <alignment vertical="center" wrapText="1"/>
    </xf>
    <xf numFmtId="165" fontId="31" fillId="0" borderId="4" xfId="2" applyFont="1" applyFill="1" applyBorder="1" applyAlignment="1" applyProtection="1">
      <alignment vertical="center" wrapText="1"/>
    </xf>
    <xf numFmtId="0" fontId="14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 wrapText="1"/>
    </xf>
    <xf numFmtId="0" fontId="27" fillId="9" borderId="0" xfId="0" applyFont="1" applyFill="1" applyAlignment="1" applyProtection="1">
      <alignment vertical="center"/>
      <protection locked="0" hidden="1"/>
    </xf>
    <xf numFmtId="0" fontId="27" fillId="9" borderId="0" xfId="0" applyFont="1" applyFill="1" applyAlignment="1" applyProtection="1">
      <alignment vertical="center"/>
      <protection hidden="1"/>
    </xf>
    <xf numFmtId="0" fontId="37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15" fillId="6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5" fillId="3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8" fillId="0" borderId="0" xfId="0" applyFont="1"/>
    <xf numFmtId="0" fontId="24" fillId="0" borderId="0" xfId="0" applyFont="1"/>
    <xf numFmtId="0" fontId="29" fillId="0" borderId="0" xfId="0" applyFont="1"/>
    <xf numFmtId="167" fontId="36" fillId="0" borderId="0" xfId="3" applyNumberFormat="1" applyFont="1" applyFill="1" applyBorder="1" applyAlignment="1" applyProtection="1">
      <alignment vertical="center"/>
    </xf>
    <xf numFmtId="165" fontId="35" fillId="11" borderId="0" xfId="2" applyFont="1" applyFill="1" applyBorder="1" applyAlignment="1" applyProtection="1">
      <alignment horizontal="left" vertical="center"/>
    </xf>
    <xf numFmtId="49" fontId="27" fillId="3" borderId="5" xfId="0" applyNumberFormat="1" applyFont="1" applyFill="1" applyBorder="1" applyAlignment="1">
      <alignment horizontal="center" vertical="center" wrapText="1"/>
    </xf>
    <xf numFmtId="9" fontId="27" fillId="3" borderId="5" xfId="3" applyFont="1" applyFill="1" applyBorder="1" applyAlignment="1" applyProtection="1">
      <alignment horizontal="center" vertical="center" wrapText="1"/>
    </xf>
    <xf numFmtId="173" fontId="27" fillId="3" borderId="6" xfId="2" applyNumberFormat="1" applyFont="1" applyFill="1" applyBorder="1" applyAlignment="1" applyProtection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1" fontId="27" fillId="3" borderId="5" xfId="0" applyNumberFormat="1" applyFont="1" applyFill="1" applyBorder="1" applyAlignment="1">
      <alignment horizontal="center" vertical="center" wrapText="1"/>
    </xf>
    <xf numFmtId="168" fontId="27" fillId="3" borderId="5" xfId="0" applyNumberFormat="1" applyFont="1" applyFill="1" applyBorder="1" applyAlignment="1">
      <alignment horizontal="center" vertical="center"/>
    </xf>
    <xf numFmtId="49" fontId="27" fillId="3" borderId="11" xfId="0" applyNumberFormat="1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 applyProtection="1">
      <alignment vertical="center" wrapText="1"/>
      <protection hidden="1"/>
    </xf>
    <xf numFmtId="9" fontId="27" fillId="0" borderId="5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40" fillId="9" borderId="0" xfId="0" applyFont="1" applyFill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40" fillId="0" borderId="0" xfId="0" applyFont="1"/>
    <xf numFmtId="0" fontId="28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1" fontId="29" fillId="0" borderId="0" xfId="0" applyNumberFormat="1" applyFont="1" applyAlignment="1">
      <alignment vertical="center"/>
    </xf>
    <xf numFmtId="0" fontId="26" fillId="0" borderId="0" xfId="0" applyFont="1"/>
    <xf numFmtId="0" fontId="24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 wrapText="1"/>
    </xf>
    <xf numFmtId="165" fontId="42" fillId="11" borderId="0" xfId="2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horizontal="right" vertical="top"/>
    </xf>
    <xf numFmtId="0" fontId="28" fillId="0" borderId="3" xfId="0" applyFont="1" applyBorder="1" applyAlignment="1">
      <alignment horizontal="center" vertical="center" wrapText="1"/>
    </xf>
    <xf numFmtId="169" fontId="28" fillId="0" borderId="2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8" fillId="0" borderId="12" xfId="0" applyFont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173" fontId="27" fillId="5" borderId="5" xfId="2" applyNumberFormat="1" applyFont="1" applyFill="1" applyBorder="1" applyAlignment="1" applyProtection="1">
      <alignment horizontal="center" vertical="center"/>
      <protection locked="0"/>
    </xf>
    <xf numFmtId="173" fontId="27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2" fontId="27" fillId="3" borderId="5" xfId="2" applyNumberFormat="1" applyFont="1" applyFill="1" applyBorder="1" applyAlignment="1" applyProtection="1">
      <alignment horizontal="center" vertical="center" wrapText="1"/>
    </xf>
    <xf numFmtId="165" fontId="12" fillId="0" borderId="0" xfId="2" applyFont="1" applyFill="1" applyBorder="1" applyAlignment="1" applyProtection="1">
      <alignment vertical="center" wrapText="1"/>
    </xf>
    <xf numFmtId="173" fontId="27" fillId="3" borderId="5" xfId="2" applyNumberFormat="1" applyFont="1" applyFill="1" applyBorder="1" applyAlignment="1" applyProtection="1">
      <alignment horizontal="center" vertical="center"/>
    </xf>
    <xf numFmtId="49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4" fontId="27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49" fontId="27" fillId="2" borderId="11" xfId="2" applyNumberFormat="1" applyFont="1" applyFill="1" applyBorder="1" applyAlignment="1" applyProtection="1">
      <alignment horizontal="center" vertical="center" wrapText="1"/>
      <protection locked="0"/>
    </xf>
    <xf numFmtId="173" fontId="27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>
      <alignment horizontal="right" vertical="center" wrapText="1"/>
    </xf>
    <xf numFmtId="9" fontId="27" fillId="3" borderId="11" xfId="3" applyFont="1" applyFill="1" applyBorder="1" applyAlignment="1" applyProtection="1">
      <alignment horizontal="center" vertical="center" wrapText="1"/>
    </xf>
    <xf numFmtId="9" fontId="28" fillId="4" borderId="21" xfId="3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73" fontId="33" fillId="3" borderId="5" xfId="2" applyNumberFormat="1" applyFont="1" applyFill="1" applyBorder="1" applyAlignment="1" applyProtection="1">
      <alignment horizontal="center" vertical="center" wrapText="1"/>
    </xf>
    <xf numFmtId="173" fontId="27" fillId="3" borderId="5" xfId="2" applyNumberFormat="1" applyFont="1" applyFill="1" applyBorder="1" applyAlignment="1" applyProtection="1">
      <alignment horizontal="center" vertical="center" wrapText="1"/>
    </xf>
    <xf numFmtId="37" fontId="27" fillId="3" borderId="8" xfId="2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6" fontId="33" fillId="0" borderId="6" xfId="2" applyNumberFormat="1" applyFont="1" applyFill="1" applyBorder="1" applyAlignment="1" applyProtection="1">
      <alignment horizontal="center" vertical="center" wrapText="1"/>
    </xf>
    <xf numFmtId="166" fontId="33" fillId="0" borderId="1" xfId="2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49" fontId="28" fillId="3" borderId="5" xfId="0" applyNumberFormat="1" applyFont="1" applyFill="1" applyBorder="1" applyAlignment="1">
      <alignment horizontal="center" vertical="center" wrapText="1"/>
    </xf>
    <xf numFmtId="5" fontId="28" fillId="2" borderId="5" xfId="2" applyNumberFormat="1" applyFont="1" applyFill="1" applyBorder="1" applyAlignment="1" applyProtection="1">
      <alignment horizontal="center" vertical="center" wrapText="1"/>
      <protection locked="0"/>
    </xf>
    <xf numFmtId="37" fontId="27" fillId="3" borderId="5" xfId="2" applyNumberFormat="1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13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1" fillId="6" borderId="13" xfId="0" applyFont="1" applyFill="1" applyBorder="1" applyAlignment="1">
      <alignment horizontal="left" vertical="center"/>
    </xf>
    <xf numFmtId="0" fontId="31" fillId="6" borderId="0" xfId="0" applyFont="1" applyFill="1" applyAlignment="1">
      <alignment vertical="center"/>
    </xf>
    <xf numFmtId="0" fontId="51" fillId="6" borderId="2" xfId="0" applyFont="1" applyFill="1" applyBorder="1" applyAlignment="1">
      <alignment horizontal="left" vertical="center"/>
    </xf>
    <xf numFmtId="0" fontId="23" fillId="6" borderId="0" xfId="0" applyFont="1" applyFill="1" applyAlignment="1">
      <alignment wrapText="1"/>
    </xf>
    <xf numFmtId="0" fontId="52" fillId="0" borderId="5" xfId="0" applyFont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177" fontId="27" fillId="3" borderId="5" xfId="4" applyNumberFormat="1" applyFont="1" applyFill="1" applyBorder="1" applyAlignment="1" applyProtection="1">
      <alignment horizontal="right" vertical="center" wrapText="1"/>
    </xf>
    <xf numFmtId="177" fontId="50" fillId="3" borderId="6" xfId="4" applyNumberFormat="1" applyFont="1" applyFill="1" applyBorder="1" applyAlignment="1" applyProtection="1">
      <alignment horizontal="right" vertical="center" wrapText="1"/>
    </xf>
    <xf numFmtId="177" fontId="27" fillId="3" borderId="11" xfId="4" applyNumberFormat="1" applyFont="1" applyFill="1" applyBorder="1" applyAlignment="1" applyProtection="1">
      <alignment horizontal="right" vertical="center" wrapText="1"/>
    </xf>
    <xf numFmtId="177" fontId="50" fillId="3" borderId="10" xfId="4" applyNumberFormat="1" applyFont="1" applyFill="1" applyBorder="1" applyAlignment="1" applyProtection="1">
      <alignment horizontal="right" vertical="center" wrapText="1"/>
    </xf>
    <xf numFmtId="177" fontId="28" fillId="4" borderId="21" xfId="4" applyNumberFormat="1" applyFont="1" applyFill="1" applyBorder="1" applyAlignment="1" applyProtection="1">
      <alignment horizontal="right" vertical="center" wrapText="1"/>
    </xf>
    <xf numFmtId="177" fontId="27" fillId="3" borderId="6" xfId="4" applyNumberFormat="1" applyFont="1" applyFill="1" applyBorder="1" applyAlignment="1" applyProtection="1">
      <alignment horizontal="center" vertical="center" wrapText="1"/>
    </xf>
    <xf numFmtId="177" fontId="27" fillId="3" borderId="10" xfId="4" applyNumberFormat="1" applyFont="1" applyFill="1" applyBorder="1" applyAlignment="1" applyProtection="1">
      <alignment horizontal="center" vertical="center" wrapText="1"/>
    </xf>
    <xf numFmtId="177" fontId="28" fillId="4" borderId="21" xfId="4" applyNumberFormat="1" applyFont="1" applyFill="1" applyBorder="1" applyAlignment="1" applyProtection="1">
      <alignment horizontal="center" vertical="center" wrapText="1"/>
    </xf>
    <xf numFmtId="177" fontId="27" fillId="3" borderId="5" xfId="4" applyNumberFormat="1" applyFont="1" applyFill="1" applyBorder="1" applyAlignment="1" applyProtection="1">
      <alignment horizontal="center" vertical="center"/>
    </xf>
    <xf numFmtId="177" fontId="27" fillId="5" borderId="5" xfId="4" applyNumberFormat="1" applyFont="1" applyFill="1" applyBorder="1" applyAlignment="1" applyProtection="1">
      <alignment horizontal="center" vertical="center"/>
      <protection locked="0"/>
    </xf>
    <xf numFmtId="177" fontId="28" fillId="3" borderId="15" xfId="4" applyNumberFormat="1" applyFont="1" applyFill="1" applyBorder="1" applyAlignment="1" applyProtection="1">
      <alignment horizontal="right" vertical="center" wrapText="1"/>
    </xf>
    <xf numFmtId="9" fontId="28" fillId="3" borderId="8" xfId="3" applyFont="1" applyFill="1" applyBorder="1" applyAlignment="1" applyProtection="1">
      <alignment horizontal="center" vertical="center" wrapText="1"/>
    </xf>
    <xf numFmtId="6" fontId="27" fillId="3" borderId="1" xfId="4" applyNumberFormat="1" applyFont="1" applyFill="1" applyBorder="1" applyAlignment="1" applyProtection="1">
      <alignment horizontal="center" vertical="center" wrapText="1"/>
    </xf>
    <xf numFmtId="178" fontId="28" fillId="4" borderId="5" xfId="0" applyNumberFormat="1" applyFont="1" applyFill="1" applyBorder="1" applyAlignment="1">
      <alignment horizontal="center" vertical="center"/>
    </xf>
    <xf numFmtId="178" fontId="27" fillId="3" borderId="5" xfId="0" applyNumberFormat="1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 wrapText="1"/>
    </xf>
    <xf numFmtId="0" fontId="51" fillId="6" borderId="0" xfId="0" applyFont="1" applyFill="1" applyAlignment="1">
      <alignment vertical="center"/>
    </xf>
    <xf numFmtId="0" fontId="26" fillId="0" borderId="4" xfId="0" applyFont="1" applyBorder="1" applyAlignment="1">
      <alignment vertical="center" wrapText="1"/>
    </xf>
    <xf numFmtId="0" fontId="24" fillId="8" borderId="5" xfId="0" applyFont="1" applyFill="1" applyBorder="1" applyAlignment="1">
      <alignment horizontal="center" vertical="center" wrapText="1"/>
    </xf>
    <xf numFmtId="6" fontId="27" fillId="3" borderId="5" xfId="4" applyNumberFormat="1" applyFont="1" applyFill="1" applyBorder="1" applyAlignment="1" applyProtection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4" fillId="14" borderId="5" xfId="0" applyFont="1" applyFill="1" applyBorder="1" applyAlignment="1">
      <alignment horizontal="center" vertical="center" wrapText="1"/>
    </xf>
    <xf numFmtId="0" fontId="28" fillId="14" borderId="6" xfId="0" applyFont="1" applyFill="1" applyBorder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center" wrapText="1"/>
    </xf>
    <xf numFmtId="0" fontId="28" fillId="15" borderId="6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179" fontId="28" fillId="4" borderId="21" xfId="2" applyNumberFormat="1" applyFont="1" applyFill="1" applyBorder="1" applyAlignment="1" applyProtection="1">
      <alignment horizontal="center" vertical="center" wrapText="1"/>
    </xf>
    <xf numFmtId="179" fontId="28" fillId="3" borderId="21" xfId="2" applyNumberFormat="1" applyFont="1" applyFill="1" applyBorder="1" applyAlignment="1" applyProtection="1">
      <alignment horizontal="center" vertical="center" wrapText="1"/>
    </xf>
    <xf numFmtId="0" fontId="27" fillId="9" borderId="0" xfId="0" applyFont="1" applyFill="1" applyAlignment="1" applyProtection="1">
      <alignment horizontal="center" vertical="center"/>
      <protection hidden="1"/>
    </xf>
    <xf numFmtId="180" fontId="27" fillId="5" borderId="5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73" fontId="3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35" fillId="0" borderId="0" xfId="2" applyFont="1" applyFill="1" applyBorder="1" applyAlignment="1" applyProtection="1">
      <alignment horizontal="left" vertical="center"/>
    </xf>
    <xf numFmtId="165" fontId="43" fillId="11" borderId="3" xfId="2" applyFont="1" applyFill="1" applyBorder="1" applyAlignment="1" applyProtection="1">
      <alignment horizontal="left" vertical="center" wrapText="1"/>
    </xf>
    <xf numFmtId="0" fontId="0" fillId="11" borderId="1" xfId="0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29" fillId="11" borderId="1" xfId="0" applyFont="1" applyFill="1" applyBorder="1" applyAlignment="1">
      <alignment horizontal="center"/>
    </xf>
    <xf numFmtId="0" fontId="28" fillId="8" borderId="5" xfId="5" applyFont="1" applyFill="1" applyBorder="1" applyAlignment="1">
      <alignment horizontal="center" vertical="center" wrapText="1"/>
    </xf>
    <xf numFmtId="0" fontId="28" fillId="12" borderId="5" xfId="5" applyFont="1" applyFill="1" applyBorder="1" applyAlignment="1">
      <alignment horizontal="center" vertical="center" wrapText="1"/>
    </xf>
    <xf numFmtId="0" fontId="24" fillId="8" borderId="5" xfId="5" applyFont="1" applyFill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0" fontId="28" fillId="13" borderId="5" xfId="5" applyFont="1" applyFill="1" applyBorder="1" applyAlignment="1">
      <alignment horizontal="center" vertical="center" wrapText="1"/>
    </xf>
    <xf numFmtId="0" fontId="28" fillId="0" borderId="5" xfId="5" applyFont="1" applyBorder="1" applyAlignment="1">
      <alignment horizontal="right" vertical="center"/>
    </xf>
    <xf numFmtId="0" fontId="47" fillId="0" borderId="0" xfId="5" applyFont="1" applyAlignment="1">
      <alignment vertical="center"/>
    </xf>
    <xf numFmtId="0" fontId="54" fillId="0" borderId="0" xfId="0" applyFont="1" applyAlignment="1">
      <alignment vertical="center"/>
    </xf>
    <xf numFmtId="180" fontId="27" fillId="3" borderId="5" xfId="2" applyNumberFormat="1" applyFont="1" applyFill="1" applyBorder="1" applyAlignment="1" applyProtection="1">
      <alignment horizontal="center" vertical="center"/>
    </xf>
    <xf numFmtId="180" fontId="28" fillId="4" borderId="21" xfId="2" applyNumberFormat="1" applyFont="1" applyFill="1" applyBorder="1" applyAlignment="1" applyProtection="1">
      <alignment horizontal="center" vertical="center" wrapText="1"/>
    </xf>
    <xf numFmtId="0" fontId="51" fillId="6" borderId="4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center" vertical="center" wrapText="1"/>
    </xf>
    <xf numFmtId="49" fontId="43" fillId="11" borderId="3" xfId="2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4" fillId="0" borderId="0" xfId="0" applyFont="1" applyAlignment="1">
      <alignment horizontal="right" vertical="center"/>
    </xf>
    <xf numFmtId="165" fontId="4" fillId="0" borderId="0" xfId="2" applyFont="1" applyFill="1" applyBorder="1" applyAlignment="1" applyProtection="1">
      <alignment vertical="center" wrapText="1"/>
    </xf>
    <xf numFmtId="0" fontId="2" fillId="11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56" fillId="0" borderId="0" xfId="0" applyFont="1" applyAlignment="1">
      <alignment vertical="center"/>
    </xf>
    <xf numFmtId="49" fontId="56" fillId="0" borderId="0" xfId="2" applyNumberFormat="1" applyFont="1" applyFill="1" applyBorder="1" applyAlignment="1" applyProtection="1">
      <alignment horizontal="left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51" fillId="6" borderId="4" xfId="5" applyFont="1" applyFill="1" applyBorder="1" applyAlignment="1">
      <alignment horizontal="left" vertical="center"/>
    </xf>
    <xf numFmtId="0" fontId="24" fillId="0" borderId="3" xfId="5" applyFont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165" fontId="62" fillId="0" borderId="0" xfId="2" applyFont="1" applyFill="1" applyBorder="1" applyAlignment="1" applyProtection="1">
      <alignment vertical="center"/>
    </xf>
    <xf numFmtId="165" fontId="56" fillId="0" borderId="0" xfId="2" applyFont="1" applyFill="1" applyBorder="1" applyAlignment="1" applyProtection="1">
      <alignment horizontal="left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165" fontId="56" fillId="0" borderId="0" xfId="2" applyFont="1" applyFill="1" applyBorder="1" applyAlignment="1">
      <alignment horizontal="left" vertical="top"/>
    </xf>
    <xf numFmtId="165" fontId="56" fillId="0" borderId="0" xfId="2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56" fillId="0" borderId="0" xfId="2" applyNumberFormat="1" applyFont="1" applyFill="1" applyAlignment="1">
      <alignment vertical="center"/>
    </xf>
    <xf numFmtId="180" fontId="30" fillId="0" borderId="0" xfId="0" applyNumberFormat="1" applyFont="1" applyAlignment="1">
      <alignment vertical="center"/>
    </xf>
    <xf numFmtId="180" fontId="27" fillId="0" borderId="0" xfId="0" applyNumberFormat="1" applyFont="1" applyAlignment="1">
      <alignment vertical="center"/>
    </xf>
    <xf numFmtId="0" fontId="27" fillId="0" borderId="0" xfId="0" applyFont="1" applyAlignment="1" applyProtection="1">
      <alignment vertical="center"/>
      <protection hidden="1"/>
    </xf>
    <xf numFmtId="0" fontId="24" fillId="0" borderId="12" xfId="0" applyFont="1" applyBorder="1" applyAlignment="1">
      <alignment horizontal="right" vertical="center" shrinkToFit="1"/>
    </xf>
    <xf numFmtId="0" fontId="27" fillId="0" borderId="5" xfId="5" applyFont="1" applyBorder="1" applyAlignment="1">
      <alignment horizontal="center" vertical="center" wrapText="1"/>
    </xf>
    <xf numFmtId="0" fontId="53" fillId="0" borderId="0" xfId="0" applyFont="1" applyAlignment="1" applyProtection="1">
      <alignment vertical="center"/>
      <protection locked="0" hidden="1"/>
    </xf>
    <xf numFmtId="0" fontId="53" fillId="0" borderId="0" xfId="0" applyFont="1" applyAlignment="1">
      <alignment vertical="center"/>
    </xf>
    <xf numFmtId="0" fontId="53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28" fillId="10" borderId="5" xfId="0" applyFont="1" applyFill="1" applyBorder="1" applyAlignment="1">
      <alignment horizontal="right" vertical="center" wrapText="1"/>
    </xf>
    <xf numFmtId="0" fontId="65" fillId="0" borderId="0" xfId="0" applyFont="1" applyAlignment="1">
      <alignment horizontal="center" vertical="center" wrapText="1"/>
    </xf>
    <xf numFmtId="0" fontId="28" fillId="18" borderId="5" xfId="0" applyFont="1" applyFill="1" applyBorder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76" fontId="28" fillId="11" borderId="5" xfId="2" applyNumberFormat="1" applyFont="1" applyFill="1" applyBorder="1" applyAlignment="1" applyProtection="1">
      <alignment horizontal="right" vertical="center" wrapText="1"/>
    </xf>
    <xf numFmtId="0" fontId="0" fillId="11" borderId="3" xfId="0" applyFill="1" applyBorder="1"/>
    <xf numFmtId="0" fontId="0" fillId="11" borderId="1" xfId="0" applyFill="1" applyBorder="1"/>
    <xf numFmtId="0" fontId="0" fillId="11" borderId="6" xfId="0" applyFill="1" applyBorder="1"/>
    <xf numFmtId="49" fontId="28" fillId="3" borderId="5" xfId="0" applyNumberFormat="1" applyFont="1" applyFill="1" applyBorder="1" applyAlignment="1">
      <alignment horizontal="right" vertical="center" wrapText="1"/>
    </xf>
    <xf numFmtId="181" fontId="27" fillId="5" borderId="5" xfId="2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177" fontId="27" fillId="9" borderId="0" xfId="4" applyNumberFormat="1" applyFont="1" applyFill="1" applyAlignment="1" applyProtection="1">
      <alignment vertical="center"/>
      <protection hidden="1"/>
    </xf>
    <xf numFmtId="0" fontId="33" fillId="9" borderId="0" xfId="0" applyFont="1" applyFill="1" applyAlignment="1">
      <alignment vertical="center"/>
    </xf>
    <xf numFmtId="0" fontId="53" fillId="9" borderId="0" xfId="0" applyFont="1" applyFill="1" applyAlignment="1" applyProtection="1">
      <alignment vertical="center"/>
      <protection locked="0" hidden="1"/>
    </xf>
    <xf numFmtId="0" fontId="53" fillId="9" borderId="0" xfId="0" applyFont="1" applyFill="1" applyAlignment="1">
      <alignment vertical="center"/>
    </xf>
    <xf numFmtId="0" fontId="53" fillId="9" borderId="0" xfId="0" applyFont="1" applyFill="1" applyAlignment="1">
      <alignment vertical="center" wrapText="1"/>
    </xf>
    <xf numFmtId="0" fontId="53" fillId="9" borderId="0" xfId="0" applyFont="1" applyFill="1" applyAlignment="1" applyProtection="1">
      <alignment vertical="center"/>
      <protection hidden="1"/>
    </xf>
    <xf numFmtId="173" fontId="27" fillId="9" borderId="0" xfId="0" applyNumberFormat="1" applyFont="1" applyFill="1" applyAlignment="1">
      <alignment vertical="center"/>
    </xf>
    <xf numFmtId="0" fontId="53" fillId="9" borderId="0" xfId="0" applyFont="1" applyFill="1" applyAlignment="1" applyProtection="1">
      <alignment horizontal="center" vertical="center"/>
      <protection hidden="1"/>
    </xf>
    <xf numFmtId="5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9" fontId="27" fillId="3" borderId="5" xfId="0" applyNumberFormat="1" applyFont="1" applyFill="1" applyBorder="1" applyAlignment="1">
      <alignment horizontal="right" vertical="center"/>
    </xf>
    <xf numFmtId="49" fontId="56" fillId="0" borderId="0" xfId="2" applyNumberFormat="1" applyFont="1" applyFill="1" applyAlignment="1">
      <alignment horizontal="left" vertical="center" wrapText="1"/>
    </xf>
    <xf numFmtId="49" fontId="59" fillId="0" borderId="0" xfId="0" applyNumberFormat="1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173" fontId="33" fillId="3" borderId="5" xfId="2" applyNumberFormat="1" applyFont="1" applyFill="1" applyBorder="1" applyAlignment="1" applyProtection="1">
      <alignment horizontal="right" vertical="center" shrinkToFit="1"/>
    </xf>
    <xf numFmtId="176" fontId="27" fillId="2" borderId="5" xfId="2" applyNumberFormat="1" applyFont="1" applyFill="1" applyBorder="1" applyAlignment="1" applyProtection="1">
      <alignment horizontal="right" vertical="center" shrinkToFit="1"/>
      <protection locked="0"/>
    </xf>
    <xf numFmtId="173" fontId="27" fillId="3" borderId="5" xfId="2" applyNumberFormat="1" applyFont="1" applyFill="1" applyBorder="1" applyAlignment="1" applyProtection="1">
      <alignment horizontal="right" vertical="center" shrinkToFit="1"/>
      <protection hidden="1"/>
    </xf>
    <xf numFmtId="173" fontId="28" fillId="19" borderId="21" xfId="2" applyNumberFormat="1" applyFont="1" applyFill="1" applyBorder="1" applyAlignment="1" applyProtection="1">
      <alignment horizontal="right" vertical="center" shrinkToFit="1"/>
      <protection hidden="1"/>
    </xf>
    <xf numFmtId="10" fontId="27" fillId="3" borderId="5" xfId="3" applyNumberFormat="1" applyFont="1" applyFill="1" applyBorder="1" applyAlignment="1" applyProtection="1">
      <alignment horizontal="center" vertical="center" shrinkToFit="1"/>
      <protection hidden="1"/>
    </xf>
    <xf numFmtId="10" fontId="28" fillId="19" borderId="21" xfId="3" applyNumberFormat="1" applyFont="1" applyFill="1" applyBorder="1" applyAlignment="1" applyProtection="1">
      <alignment horizontal="center" vertical="center" shrinkToFit="1"/>
      <protection hidden="1"/>
    </xf>
    <xf numFmtId="0" fontId="28" fillId="17" borderId="5" xfId="0" applyFont="1" applyFill="1" applyBorder="1" applyAlignment="1" applyProtection="1">
      <alignment horizontal="center" vertical="center" wrapText="1"/>
      <protection hidden="1"/>
    </xf>
    <xf numFmtId="0" fontId="28" fillId="13" borderId="11" xfId="0" applyFont="1" applyFill="1" applyBorder="1" applyAlignment="1" applyProtection="1">
      <alignment horizontal="center" vertical="center" wrapText="1"/>
      <protection hidden="1"/>
    </xf>
    <xf numFmtId="173" fontId="27" fillId="3" borderId="8" xfId="2" applyNumberFormat="1" applyFont="1" applyFill="1" applyBorder="1" applyAlignment="1" applyProtection="1">
      <alignment horizontal="center" vertical="center" shrinkToFit="1"/>
      <protection hidden="1"/>
    </xf>
    <xf numFmtId="10" fontId="27" fillId="3" borderId="8" xfId="3" applyNumberFormat="1" applyFont="1" applyFill="1" applyBorder="1" applyAlignment="1" applyProtection="1">
      <alignment horizontal="center" vertical="center" shrinkToFit="1"/>
      <protection hidden="1"/>
    </xf>
    <xf numFmtId="173" fontId="27" fillId="3" borderId="8" xfId="2" applyNumberFormat="1" applyFont="1" applyFill="1" applyBorder="1" applyAlignment="1" applyProtection="1">
      <alignment horizontal="right" vertical="center" shrinkToFit="1"/>
      <protection hidden="1"/>
    </xf>
    <xf numFmtId="0" fontId="67" fillId="9" borderId="0" xfId="0" applyFont="1" applyFill="1" applyAlignment="1" applyProtection="1">
      <alignment vertical="center"/>
      <protection locked="0"/>
    </xf>
    <xf numFmtId="49" fontId="56" fillId="0" borderId="0" xfId="2" applyNumberFormat="1" applyFont="1" applyFill="1" applyAlignment="1">
      <alignment horizontal="left" vertical="center"/>
    </xf>
    <xf numFmtId="0" fontId="68" fillId="0" borderId="0" xfId="0" applyFont="1"/>
    <xf numFmtId="0" fontId="15" fillId="0" borderId="1" xfId="5" applyFont="1" applyBorder="1" applyAlignment="1">
      <alignment horizontal="center" vertical="center"/>
    </xf>
    <xf numFmtId="0" fontId="28" fillId="13" borderId="22" xfId="5" applyFont="1" applyFill="1" applyBorder="1" applyAlignment="1">
      <alignment horizontal="center" vertical="center" wrapText="1"/>
    </xf>
    <xf numFmtId="5" fontId="27" fillId="20" borderId="5" xfId="2" applyNumberFormat="1" applyFont="1" applyFill="1" applyBorder="1" applyAlignment="1" applyProtection="1">
      <alignment horizontal="center" vertical="center" shrinkToFit="1"/>
    </xf>
    <xf numFmtId="5" fontId="27" fillId="2" borderId="5" xfId="2" applyNumberFormat="1" applyFont="1" applyFill="1" applyBorder="1" applyAlignment="1" applyProtection="1">
      <alignment horizontal="right" vertical="center" shrinkToFit="1"/>
      <protection locked="0"/>
    </xf>
    <xf numFmtId="0" fontId="24" fillId="0" borderId="11" xfId="5" applyFont="1" applyBorder="1" applyAlignment="1">
      <alignment horizontal="center" vertical="center" wrapText="1"/>
    </xf>
    <xf numFmtId="173" fontId="27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33" fillId="17" borderId="5" xfId="2" applyNumberFormat="1" applyFont="1" applyFill="1" applyBorder="1" applyAlignment="1" applyProtection="1">
      <alignment horizontal="center" vertical="center" shrinkToFit="1"/>
      <protection hidden="1"/>
    </xf>
    <xf numFmtId="0" fontId="53" fillId="9" borderId="0" xfId="0" applyFont="1" applyFill="1" applyAlignment="1" applyProtection="1">
      <alignment vertical="center" wrapText="1"/>
      <protection hidden="1"/>
    </xf>
    <xf numFmtId="0" fontId="33" fillId="9" borderId="0" xfId="0" applyFont="1" applyFill="1" applyAlignment="1" applyProtection="1">
      <alignment vertical="center"/>
      <protection hidden="1"/>
    </xf>
    <xf numFmtId="49" fontId="53" fillId="9" borderId="0" xfId="0" applyNumberFormat="1" applyFont="1" applyFill="1" applyAlignment="1" applyProtection="1">
      <alignment horizontal="center" vertical="center"/>
      <protection hidden="1"/>
    </xf>
    <xf numFmtId="0" fontId="31" fillId="9" borderId="0" xfId="0" applyFont="1" applyFill="1" applyAlignment="1" applyProtection="1">
      <alignment vertic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166" fontId="27" fillId="0" borderId="0" xfId="0" applyNumberFormat="1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" fontId="2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172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right" vertical="center"/>
      <protection hidden="1"/>
    </xf>
    <xf numFmtId="10" fontId="41" fillId="0" borderId="0" xfId="3" applyNumberFormat="1" applyFont="1" applyFill="1" applyBorder="1" applyAlignment="1" applyProtection="1">
      <alignment horizontal="left" vertical="center" shrinkToFit="1"/>
      <protection hidden="1"/>
    </xf>
    <xf numFmtId="174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0" fontId="27" fillId="2" borderId="5" xfId="0" applyFont="1" applyFill="1" applyBorder="1" applyAlignment="1" applyProtection="1">
      <alignment horizontal="center" vertical="center" shrinkToFit="1"/>
      <protection locked="0"/>
    </xf>
    <xf numFmtId="176" fontId="27" fillId="3" borderId="5" xfId="6" applyNumberFormat="1" applyFont="1" applyFill="1" applyBorder="1" applyAlignment="1" applyProtection="1">
      <alignment horizontal="right" vertical="center" shrinkToFit="1"/>
      <protection hidden="1"/>
    </xf>
    <xf numFmtId="180" fontId="27" fillId="3" borderId="3" xfId="2" applyNumberFormat="1" applyFont="1" applyFill="1" applyBorder="1" applyAlignment="1" applyProtection="1">
      <alignment horizontal="center" vertical="center" shrinkToFit="1"/>
      <protection hidden="1"/>
    </xf>
    <xf numFmtId="180" fontId="27" fillId="3" borderId="1" xfId="2" applyNumberFormat="1" applyFont="1" applyFill="1" applyBorder="1" applyAlignment="1" applyProtection="1">
      <alignment horizontal="center" vertical="center" shrinkToFit="1"/>
      <protection hidden="1"/>
    </xf>
    <xf numFmtId="180" fontId="27" fillId="3" borderId="1" xfId="2" applyNumberFormat="1" applyFont="1" applyFill="1" applyBorder="1" applyAlignment="1" applyProtection="1">
      <alignment horizontal="right" vertical="center" shrinkToFit="1"/>
      <protection hidden="1"/>
    </xf>
    <xf numFmtId="9" fontId="27" fillId="3" borderId="1" xfId="3" applyFont="1" applyFill="1" applyBorder="1" applyAlignment="1" applyProtection="1">
      <alignment horizontal="center" vertical="center" shrinkToFit="1"/>
      <protection hidden="1"/>
    </xf>
    <xf numFmtId="173" fontId="27" fillId="3" borderId="1" xfId="2" applyNumberFormat="1" applyFont="1" applyFill="1" applyBorder="1" applyAlignment="1" applyProtection="1">
      <alignment horizontal="right" vertical="center" shrinkToFit="1"/>
      <protection hidden="1"/>
    </xf>
    <xf numFmtId="180" fontId="27" fillId="3" borderId="6" xfId="2" applyNumberFormat="1" applyFont="1" applyFill="1" applyBorder="1" applyAlignment="1" applyProtection="1">
      <alignment horizontal="right" vertical="center" shrinkToFit="1"/>
      <protection hidden="1"/>
    </xf>
    <xf numFmtId="176" fontId="27" fillId="3" borderId="5" xfId="4" applyNumberFormat="1" applyFont="1" applyFill="1" applyBorder="1" applyAlignment="1" applyProtection="1">
      <alignment horizontal="right" vertical="center" shrinkToFit="1"/>
      <protection hidden="1"/>
    </xf>
    <xf numFmtId="173" fontId="27" fillId="3" borderId="15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22" xfId="2" applyNumberFormat="1" applyFont="1" applyFill="1" applyBorder="1" applyAlignment="1" applyProtection="1">
      <alignment horizontal="right" vertical="center" shrinkToFit="1"/>
      <protection hidden="1"/>
    </xf>
    <xf numFmtId="173" fontId="27" fillId="3" borderId="6" xfId="2" applyNumberFormat="1" applyFont="1" applyFill="1" applyBorder="1" applyAlignment="1" applyProtection="1">
      <alignment horizontal="center" vertical="center" shrinkToFit="1"/>
      <protection hidden="1"/>
    </xf>
    <xf numFmtId="176" fontId="27" fillId="3" borderId="11" xfId="4" applyNumberFormat="1" applyFont="1" applyFill="1" applyBorder="1" applyAlignment="1" applyProtection="1">
      <alignment horizontal="right" vertical="center" shrinkToFit="1"/>
      <protection hidden="1"/>
    </xf>
    <xf numFmtId="173" fontId="27" fillId="3" borderId="10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28" fillId="0" borderId="1" xfId="0" applyFont="1" applyBorder="1" applyAlignment="1" applyProtection="1">
      <alignment horizontal="center" vertical="center" shrinkToFit="1"/>
      <protection hidden="1"/>
    </xf>
    <xf numFmtId="0" fontId="27" fillId="3" borderId="1" xfId="0" applyFont="1" applyFill="1" applyBorder="1" applyAlignment="1" applyProtection="1">
      <alignment horizontal="center" vertical="center" shrinkToFit="1"/>
      <protection hidden="1"/>
    </xf>
    <xf numFmtId="166" fontId="27" fillId="0" borderId="0" xfId="0" applyNumberFormat="1" applyFont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 shrinkToFit="1"/>
      <protection hidden="1"/>
    </xf>
    <xf numFmtId="1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1" xfId="0" applyFont="1" applyBorder="1" applyAlignment="1" applyProtection="1">
      <alignment horizontal="center" vertical="center" shrinkToFit="1"/>
      <protection hidden="1"/>
    </xf>
    <xf numFmtId="168" fontId="28" fillId="4" borderId="5" xfId="0" applyNumberFormat="1" applyFont="1" applyFill="1" applyBorder="1" applyAlignment="1" applyProtection="1">
      <alignment horizontal="center" vertical="center" shrinkToFit="1"/>
      <protection hidden="1"/>
    </xf>
    <xf numFmtId="37" fontId="27" fillId="3" borderId="8" xfId="2" applyNumberFormat="1" applyFont="1" applyFill="1" applyBorder="1" applyAlignment="1" applyProtection="1">
      <alignment horizontal="center" vertical="center" shrinkToFit="1"/>
      <protection hidden="1"/>
    </xf>
    <xf numFmtId="49" fontId="28" fillId="11" borderId="5" xfId="0" applyNumberFormat="1" applyFont="1" applyFill="1" applyBorder="1" applyAlignment="1">
      <alignment horizontal="right" vertical="center" wrapText="1"/>
    </xf>
    <xf numFmtId="176" fontId="28" fillId="16" borderId="21" xfId="6" applyNumberFormat="1" applyFont="1" applyFill="1" applyBorder="1" applyAlignment="1" applyProtection="1">
      <alignment horizontal="right" vertical="center" shrinkToFit="1"/>
      <protection hidden="1"/>
    </xf>
    <xf numFmtId="176" fontId="28" fillId="16" borderId="21" xfId="4" applyNumberFormat="1" applyFont="1" applyFill="1" applyBorder="1" applyAlignment="1" applyProtection="1">
      <alignment horizontal="right" vertical="center" shrinkToFit="1"/>
      <protection hidden="1"/>
    </xf>
    <xf numFmtId="173" fontId="28" fillId="16" borderId="21" xfId="2" applyNumberFormat="1" applyFont="1" applyFill="1" applyBorder="1" applyAlignment="1" applyProtection="1">
      <alignment horizontal="center" vertical="center" shrinkToFit="1"/>
      <protection hidden="1"/>
    </xf>
    <xf numFmtId="173" fontId="28" fillId="16" borderId="21" xfId="2" applyNumberFormat="1" applyFont="1" applyFill="1" applyBorder="1" applyAlignment="1" applyProtection="1">
      <alignment horizontal="right" vertical="center" shrinkToFit="1"/>
      <protection hidden="1"/>
    </xf>
    <xf numFmtId="168" fontId="27" fillId="3" borderId="5" xfId="0" applyNumberFormat="1" applyFont="1" applyFill="1" applyBorder="1" applyAlignment="1" applyProtection="1">
      <alignment horizontal="center" vertical="center"/>
      <protection hidden="1"/>
    </xf>
    <xf numFmtId="178" fontId="27" fillId="3" borderId="5" xfId="0" applyNumberFormat="1" applyFont="1" applyFill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169" fontId="28" fillId="0" borderId="2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7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 applyAlignment="1" applyProtection="1">
      <alignment horizontal="center" vertical="center"/>
      <protection hidden="1"/>
    </xf>
    <xf numFmtId="169" fontId="28" fillId="0" borderId="13" xfId="0" applyNumberFormat="1" applyFont="1" applyBorder="1" applyAlignment="1" applyProtection="1">
      <alignment horizontal="center" vertical="center" wrapText="1"/>
      <protection hidden="1"/>
    </xf>
    <xf numFmtId="166" fontId="27" fillId="0" borderId="4" xfId="0" applyNumberFormat="1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wrapText="1"/>
      <protection hidden="1"/>
    </xf>
    <xf numFmtId="180" fontId="27" fillId="3" borderId="6" xfId="2" applyNumberFormat="1" applyFont="1" applyFill="1" applyBorder="1" applyAlignment="1" applyProtection="1">
      <alignment horizontal="center" vertical="center" shrinkToFit="1"/>
      <protection hidden="1"/>
    </xf>
    <xf numFmtId="180" fontId="27" fillId="3" borderId="10" xfId="2" applyNumberFormat="1" applyFont="1" applyFill="1" applyBorder="1" applyAlignment="1" applyProtection="1">
      <alignment horizontal="center" vertical="center" shrinkToFit="1"/>
      <protection hidden="1"/>
    </xf>
    <xf numFmtId="180" fontId="28" fillId="16" borderId="21" xfId="4" applyNumberFormat="1" applyFont="1" applyFill="1" applyBorder="1" applyAlignment="1" applyProtection="1">
      <alignment horizontal="right" vertical="center" shrinkToFit="1"/>
      <protection hidden="1"/>
    </xf>
    <xf numFmtId="180" fontId="28" fillId="16" borderId="21" xfId="2" applyNumberFormat="1" applyFont="1" applyFill="1" applyBorder="1" applyAlignment="1" applyProtection="1">
      <alignment horizontal="center" vertical="center" shrinkToFit="1"/>
      <protection hidden="1"/>
    </xf>
    <xf numFmtId="180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181" fontId="27" fillId="3" borderId="1" xfId="0" applyNumberFormat="1" applyFont="1" applyFill="1" applyBorder="1" applyAlignment="1" applyProtection="1">
      <alignment horizontal="center" vertical="center" shrinkToFit="1"/>
      <protection hidden="1"/>
    </xf>
    <xf numFmtId="178" fontId="28" fillId="16" borderId="5" xfId="0" applyNumberFormat="1" applyFont="1" applyFill="1" applyBorder="1" applyAlignment="1" applyProtection="1">
      <alignment horizontal="center" vertical="center" shrinkToFit="1"/>
      <protection hidden="1"/>
    </xf>
    <xf numFmtId="9" fontId="27" fillId="0" borderId="5" xfId="0" applyNumberFormat="1" applyFont="1" applyBorder="1" applyAlignment="1" applyProtection="1">
      <alignment horizontal="center" vertical="center" wrapText="1"/>
      <protection hidden="1"/>
    </xf>
    <xf numFmtId="180" fontId="33" fillId="3" borderId="5" xfId="2" applyNumberFormat="1" applyFont="1" applyFill="1" applyBorder="1" applyAlignment="1" applyProtection="1">
      <alignment horizontal="center" vertical="center" shrinkToFit="1"/>
      <protection hidden="1"/>
    </xf>
    <xf numFmtId="181" fontId="33" fillId="17" borderId="5" xfId="2" applyNumberFormat="1" applyFont="1" applyFill="1" applyBorder="1" applyAlignment="1" applyProtection="1">
      <alignment horizontal="center" vertical="center" shrinkToFit="1"/>
      <protection hidden="1"/>
    </xf>
    <xf numFmtId="0" fontId="27" fillId="9" borderId="0" xfId="0" applyFont="1" applyFill="1" applyProtection="1">
      <protection hidden="1"/>
    </xf>
    <xf numFmtId="180" fontId="27" fillId="9" borderId="0" xfId="0" applyNumberFormat="1" applyFont="1" applyFill="1" applyAlignment="1" applyProtection="1">
      <alignment vertical="center"/>
      <protection hidden="1"/>
    </xf>
    <xf numFmtId="0" fontId="0" fillId="9" borderId="0" xfId="0" applyFill="1" applyProtection="1">
      <protection hidden="1"/>
    </xf>
    <xf numFmtId="180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180" fontId="27" fillId="5" borderId="11" xfId="2" applyNumberFormat="1" applyFont="1" applyFill="1" applyBorder="1" applyAlignment="1" applyProtection="1">
      <alignment horizontal="center" vertical="center" shrinkToFit="1"/>
      <protection locked="0"/>
    </xf>
    <xf numFmtId="180" fontId="27" fillId="2" borderId="5" xfId="2" applyNumberFormat="1" applyFont="1" applyFill="1" applyBorder="1" applyAlignment="1" applyProtection="1">
      <alignment horizontal="center" vertical="center" shrinkToFit="1"/>
      <protection locked="0"/>
    </xf>
    <xf numFmtId="180" fontId="27" fillId="2" borderId="11" xfId="2" applyNumberFormat="1" applyFont="1" applyFill="1" applyBorder="1" applyAlignment="1" applyProtection="1">
      <alignment horizontal="center" vertical="center" shrinkToFit="1"/>
      <protection locked="0"/>
    </xf>
    <xf numFmtId="10" fontId="27" fillId="3" borderId="3" xfId="3" applyNumberFormat="1" applyFont="1" applyFill="1" applyBorder="1" applyAlignment="1" applyProtection="1">
      <alignment horizontal="center" vertical="center" shrinkToFit="1"/>
      <protection hidden="1"/>
    </xf>
    <xf numFmtId="10" fontId="27" fillId="3" borderId="11" xfId="3" applyNumberFormat="1" applyFont="1" applyFill="1" applyBorder="1" applyAlignment="1" applyProtection="1">
      <alignment horizontal="center" vertical="center" shrinkToFit="1"/>
      <protection hidden="1"/>
    </xf>
    <xf numFmtId="0" fontId="30" fillId="0" borderId="0" xfId="5" applyFont="1" applyAlignment="1">
      <alignment vertical="center"/>
    </xf>
    <xf numFmtId="173" fontId="30" fillId="0" borderId="0" xfId="5" applyNumberFormat="1" applyFont="1" applyAlignment="1">
      <alignment vertical="center"/>
    </xf>
    <xf numFmtId="0" fontId="28" fillId="13" borderId="5" xfId="5" applyFont="1" applyFill="1" applyBorder="1" applyAlignment="1" applyProtection="1">
      <alignment horizontal="center" vertical="center" wrapText="1"/>
      <protection hidden="1"/>
    </xf>
    <xf numFmtId="0" fontId="28" fillId="13" borderId="5" xfId="0" applyFont="1" applyFill="1" applyBorder="1" applyAlignment="1" applyProtection="1">
      <alignment horizontal="center" vertical="center" wrapText="1"/>
      <protection hidden="1"/>
    </xf>
    <xf numFmtId="10" fontId="28" fillId="0" borderId="0" xfId="3" applyNumberFormat="1" applyFont="1" applyFill="1" applyBorder="1" applyAlignment="1">
      <alignment horizontal="left" shrinkToFit="1"/>
    </xf>
    <xf numFmtId="0" fontId="27" fillId="0" borderId="0" xfId="0" applyFont="1" applyProtection="1">
      <protection hidden="1"/>
    </xf>
    <xf numFmtId="0" fontId="25" fillId="9" borderId="22" xfId="0" applyFont="1" applyFill="1" applyBorder="1" applyAlignment="1" applyProtection="1">
      <alignment horizontal="center" vertical="center"/>
      <protection locked="0"/>
    </xf>
    <xf numFmtId="0" fontId="24" fillId="17" borderId="5" xfId="0" applyFont="1" applyFill="1" applyBorder="1" applyAlignment="1" applyProtection="1">
      <alignment horizontal="center" vertical="center" wrapText="1"/>
      <protection hidden="1"/>
    </xf>
    <xf numFmtId="0" fontId="69" fillId="0" borderId="0" xfId="2" applyNumberFormat="1" applyFont="1" applyFill="1" applyBorder="1" applyAlignment="1" applyProtection="1">
      <alignment horizontal="left" vertical="center"/>
      <protection hidden="1"/>
    </xf>
    <xf numFmtId="0" fontId="69" fillId="0" borderId="0" xfId="2" applyNumberFormat="1" applyFont="1" applyFill="1" applyBorder="1" applyAlignment="1" applyProtection="1">
      <alignment horizontal="left" vertical="center"/>
    </xf>
    <xf numFmtId="10" fontId="28" fillId="16" borderId="21" xfId="3" applyNumberFormat="1" applyFont="1" applyFill="1" applyBorder="1" applyAlignment="1" applyProtection="1">
      <alignment horizontal="center" vertical="center" shrinkToFit="1"/>
      <protection hidden="1"/>
    </xf>
    <xf numFmtId="173" fontId="28" fillId="4" borderId="21" xfId="2" applyNumberFormat="1" applyFont="1" applyFill="1" applyBorder="1" applyAlignment="1" applyProtection="1">
      <alignment vertical="center" shrinkToFit="1"/>
    </xf>
    <xf numFmtId="182" fontId="27" fillId="3" borderId="5" xfId="0" applyNumberFormat="1" applyFont="1" applyFill="1" applyBorder="1" applyAlignment="1">
      <alignment horizontal="right" vertical="center"/>
    </xf>
    <xf numFmtId="0" fontId="0" fillId="11" borderId="3" xfId="0" applyFill="1" applyBorder="1" applyAlignment="1">
      <alignment horizontal="right"/>
    </xf>
    <xf numFmtId="173" fontId="27" fillId="5" borderId="5" xfId="2" applyNumberFormat="1" applyFont="1" applyFill="1" applyBorder="1" applyAlignment="1" applyProtection="1">
      <alignment horizontal="right" vertical="center" shrinkToFit="1"/>
      <protection locked="0"/>
    </xf>
    <xf numFmtId="173" fontId="27" fillId="5" borderId="11" xfId="2" applyNumberFormat="1" applyFont="1" applyFill="1" applyBorder="1" applyAlignment="1" applyProtection="1">
      <alignment horizontal="right" vertical="center" shrinkToFit="1"/>
      <protection locked="0"/>
    </xf>
    <xf numFmtId="173" fontId="28" fillId="4" borderId="21" xfId="2" applyNumberFormat="1" applyFont="1" applyFill="1" applyBorder="1" applyAlignment="1" applyProtection="1">
      <alignment horizontal="right" vertical="center" wrapText="1"/>
    </xf>
    <xf numFmtId="0" fontId="42" fillId="0" borderId="0" xfId="5" applyFont="1" applyAlignment="1" applyProtection="1">
      <alignment horizontal="right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6" xfId="0" applyFont="1" applyFill="1" applyBorder="1" applyAlignment="1">
      <alignment horizontal="center" vertical="center" wrapText="1"/>
    </xf>
    <xf numFmtId="0" fontId="66" fillId="17" borderId="25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 vertical="center" wrapText="1"/>
    </xf>
    <xf numFmtId="0" fontId="28" fillId="13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vertical="center"/>
    </xf>
    <xf numFmtId="49" fontId="56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7" borderId="16" xfId="0" applyFont="1" applyFill="1" applyBorder="1" applyAlignment="1">
      <alignment horizontal="center" vertical="center" wrapText="1"/>
    </xf>
    <xf numFmtId="170" fontId="44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4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14" xfId="0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>
      <alignment horizontal="right" vertical="center" wrapText="1"/>
    </xf>
    <xf numFmtId="0" fontId="44" fillId="2" borderId="16" xfId="0" applyFont="1" applyFill="1" applyBorder="1" applyAlignment="1" applyProtection="1">
      <alignment horizontal="center" vertical="center" wrapText="1"/>
      <protection locked="0"/>
    </xf>
    <xf numFmtId="0" fontId="44" fillId="2" borderId="20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10" borderId="3" xfId="0" applyFont="1" applyFill="1" applyBorder="1" applyAlignment="1">
      <alignment horizontal="right" vertical="center" wrapText="1"/>
    </xf>
    <xf numFmtId="0" fontId="28" fillId="10" borderId="6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49" fillId="2" borderId="9" xfId="5" applyFont="1" applyFill="1" applyBorder="1" applyAlignment="1" applyProtection="1">
      <alignment horizontal="left" vertical="top" wrapText="1"/>
      <protection locked="0"/>
    </xf>
    <xf numFmtId="0" fontId="33" fillId="2" borderId="19" xfId="5" applyFont="1" applyFill="1" applyBorder="1" applyAlignment="1" applyProtection="1">
      <alignment horizontal="left" vertical="top" wrapText="1"/>
      <protection locked="0"/>
    </xf>
    <xf numFmtId="0" fontId="33" fillId="2" borderId="10" xfId="5" applyFont="1" applyFill="1" applyBorder="1" applyAlignment="1" applyProtection="1">
      <alignment horizontal="left" vertical="top" wrapText="1"/>
      <protection locked="0"/>
    </xf>
    <xf numFmtId="0" fontId="33" fillId="2" borderId="13" xfId="5" applyFont="1" applyFill="1" applyBorder="1" applyAlignment="1" applyProtection="1">
      <alignment horizontal="left" vertical="top" wrapText="1"/>
      <protection locked="0"/>
    </xf>
    <xf numFmtId="0" fontId="33" fillId="2" borderId="4" xfId="5" applyFont="1" applyFill="1" applyBorder="1" applyAlignment="1" applyProtection="1">
      <alignment horizontal="left" vertical="top" wrapText="1"/>
      <protection locked="0"/>
    </xf>
    <xf numFmtId="0" fontId="33" fillId="2" borderId="15" xfId="5" applyFont="1" applyFill="1" applyBorder="1" applyAlignment="1" applyProtection="1">
      <alignment horizontal="left" vertical="top" wrapText="1"/>
      <protection locked="0"/>
    </xf>
    <xf numFmtId="171" fontId="28" fillId="0" borderId="19" xfId="2" applyNumberFormat="1" applyFont="1" applyFill="1" applyBorder="1" applyAlignment="1" applyProtection="1">
      <alignment horizontal="right" vertical="center" wrapText="1"/>
    </xf>
    <xf numFmtId="0" fontId="3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6" borderId="0" xfId="5" applyFont="1" applyFill="1" applyAlignment="1">
      <alignment horizontal="left" vertical="center"/>
    </xf>
    <xf numFmtId="0" fontId="51" fillId="6" borderId="0" xfId="0" applyFont="1" applyFill="1" applyAlignment="1">
      <alignment vertical="center" wrapText="1"/>
    </xf>
    <xf numFmtId="0" fontId="55" fillId="0" borderId="0" xfId="0" applyFont="1" applyAlignment="1">
      <alignment vertical="center" wrapText="1"/>
    </xf>
    <xf numFmtId="0" fontId="14" fillId="0" borderId="11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9" fillId="2" borderId="9" xfId="0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28" fillId="13" borderId="3" xfId="5" applyFont="1" applyFill="1" applyBorder="1" applyAlignment="1" applyProtection="1">
      <alignment horizontal="center" vertical="center" wrapText="1"/>
      <protection hidden="1"/>
    </xf>
    <xf numFmtId="0" fontId="1" fillId="0" borderId="6" xfId="5" applyBorder="1" applyAlignment="1">
      <alignment vertical="center"/>
    </xf>
    <xf numFmtId="0" fontId="3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9" fillId="7" borderId="0" xfId="5" applyFont="1" applyFill="1" applyAlignment="1">
      <alignment horizontal="center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10" borderId="3" xfId="5" applyFont="1" applyFill="1" applyBorder="1" applyAlignment="1">
      <alignment horizontal="right" vertical="center"/>
    </xf>
    <xf numFmtId="0" fontId="28" fillId="10" borderId="6" xfId="5" applyFont="1" applyFill="1" applyBorder="1" applyAlignment="1">
      <alignment horizontal="right" vertical="center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44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horizontal="right" vertical="center" wrapText="1"/>
    </xf>
    <xf numFmtId="170" fontId="44" fillId="2" borderId="14" xfId="0" applyNumberFormat="1" applyFont="1" applyFill="1" applyBorder="1" applyAlignment="1" applyProtection="1">
      <alignment horizontal="center" vertical="center" wrapText="1"/>
      <protection locked="0"/>
    </xf>
    <xf numFmtId="170" fontId="4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7" borderId="3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4" fillId="15" borderId="3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4" fillId="15" borderId="6" xfId="0" applyFont="1" applyFill="1" applyBorder="1" applyAlignment="1">
      <alignment horizontal="center" vertical="center" wrapText="1"/>
    </xf>
    <xf numFmtId="0" fontId="27" fillId="9" borderId="0" xfId="0" applyFont="1" applyFill="1" applyAlignment="1" applyProtection="1">
      <alignment horizontal="center" vertical="center"/>
      <protection hidden="1"/>
    </xf>
    <xf numFmtId="0" fontId="28" fillId="10" borderId="3" xfId="0" applyFont="1" applyFill="1" applyBorder="1" applyAlignment="1">
      <alignment horizontal="left" vertical="center" wrapText="1"/>
    </xf>
    <xf numFmtId="0" fontId="28" fillId="10" borderId="6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6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center" vertical="center" wrapText="1"/>
    </xf>
    <xf numFmtId="165" fontId="42" fillId="11" borderId="4" xfId="2" applyFont="1" applyFill="1" applyBorder="1" applyAlignment="1" applyProtection="1">
      <alignment horizontal="left" wrapText="1"/>
    </xf>
    <xf numFmtId="0" fontId="49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73" fontId="28" fillId="3" borderId="13" xfId="2" applyNumberFormat="1" applyFont="1" applyFill="1" applyBorder="1" applyAlignment="1" applyProtection="1">
      <alignment horizontal="right" vertical="center" wrapText="1"/>
    </xf>
    <xf numFmtId="173" fontId="28" fillId="3" borderId="15" xfId="2" applyNumberFormat="1" applyFont="1" applyFill="1" applyBorder="1" applyAlignment="1" applyProtection="1">
      <alignment horizontal="righ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</cellXfs>
  <cellStyles count="8">
    <cellStyle name="Milliers [0]" xfId="1" builtinId="6"/>
    <cellStyle name="Monétaire" xfId="4" builtinId="4"/>
    <cellStyle name="Monétaire [0]" xfId="2" builtinId="7"/>
    <cellStyle name="Monétaire 2" xfId="6" xr:uid="{79653BBA-D6FA-436F-A941-E55BDC821266}"/>
    <cellStyle name="Monétaire 3" xfId="7" xr:uid="{E2DA3B09-33FF-4F8B-8B3C-6245458E015F}"/>
    <cellStyle name="Normal" xfId="0" builtinId="0"/>
    <cellStyle name="Normal 2" xfId="5" xr:uid="{BDEE875A-641A-4782-8502-3C9AFBA9C93D}"/>
    <cellStyle name="Pourcentage" xfId="3" builtinId="5"/>
  </cellStyles>
  <dxfs count="2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1F497D"/>
      <color rgb="FFBFBFBF"/>
      <color rgb="FFFDE2CB"/>
      <color rgb="FFE1EB81"/>
      <color rgb="FFD5D297"/>
      <color rgb="FFFABF8F"/>
      <color rgb="FFF4750C"/>
      <color rgb="FFF8A15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5" dropStyle="combo" dx="16" fmlaLink="$A$60" fmlaRange="$K$61:$K$65" noThreeD="1" sel="1" val="0"/>
</file>

<file path=xl/ctrlProps/ctrlProp2.xml><?xml version="1.0" encoding="utf-8"?>
<formControlPr xmlns="http://schemas.microsoft.com/office/spreadsheetml/2009/9/main" objectType="Drop" dropLines="5" dropStyle="combo" dx="16" fmlaLink="$A$60" fmlaRange="$K$61:$K$65" noThreeD="1" sel="1" val="0"/>
</file>

<file path=xl/ctrlProps/ctrlProp3.xml><?xml version="1.0" encoding="utf-8"?>
<formControlPr xmlns="http://schemas.microsoft.com/office/spreadsheetml/2009/9/main" objectType="Drop" dropLines="15" dropStyle="combo" dx="16" fmlaLink="$A$62" fmlaRange="$B$63:$B$68" noThreeD="1" sel="6" val="0"/>
</file>

<file path=xl/ctrlProps/ctrlProp4.xml><?xml version="1.0" encoding="utf-8"?>
<formControlPr xmlns="http://schemas.microsoft.com/office/spreadsheetml/2009/9/main" objectType="Drop" dropLines="5" dropStyle="combo" dx="16" fmlaLink="$A$65" fmlaRange="$I$63:$J$67" noThreeD="1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66712</xdr:colOff>
      <xdr:row>0</xdr:row>
      <xdr:rowOff>24804</xdr:rowOff>
    </xdr:from>
    <xdr:to>
      <xdr:col>0</xdr:col>
      <xdr:colOff>802141</xdr:colOff>
      <xdr:row>0</xdr:row>
      <xdr:rowOff>782233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12" y="24804"/>
          <a:ext cx="735429" cy="7574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19050</xdr:rowOff>
        </xdr:from>
        <xdr:to>
          <xdr:col>3</xdr:col>
          <xdr:colOff>695325</xdr:colOff>
          <xdr:row>6</xdr:row>
          <xdr:rowOff>361950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133387</xdr:colOff>
      <xdr:row>0</xdr:row>
      <xdr:rowOff>53379</xdr:rowOff>
    </xdr:from>
    <xdr:to>
      <xdr:col>0</xdr:col>
      <xdr:colOff>801958</xdr:colOff>
      <xdr:row>0</xdr:row>
      <xdr:rowOff>741950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87" y="53379"/>
          <a:ext cx="668571" cy="68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</xdr:row>
          <xdr:rowOff>9525</xdr:rowOff>
        </xdr:from>
        <xdr:to>
          <xdr:col>5</xdr:col>
          <xdr:colOff>9525</xdr:colOff>
          <xdr:row>6</xdr:row>
          <xdr:rowOff>352425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57150</xdr:rowOff>
        </xdr:from>
        <xdr:to>
          <xdr:col>4</xdr:col>
          <xdr:colOff>781050</xdr:colOff>
          <xdr:row>5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12</xdr:row>
          <xdr:rowOff>9525</xdr:rowOff>
        </xdr:from>
        <xdr:to>
          <xdr:col>4</xdr:col>
          <xdr:colOff>9525</xdr:colOff>
          <xdr:row>13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15240</xdr:colOff>
      <xdr:row>0</xdr:row>
      <xdr:rowOff>859515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450" cy="84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W95"/>
  <sheetViews>
    <sheetView tabSelected="1"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9.5546875" style="5" customWidth="1"/>
    <col min="2" max="2" width="24.33203125" style="7" customWidth="1"/>
    <col min="3" max="3" width="14.77734375" style="5" customWidth="1"/>
    <col min="4" max="12" width="12.77734375" style="5" customWidth="1"/>
    <col min="13" max="15" width="10.77734375" style="5" customWidth="1"/>
    <col min="16" max="16" width="8.88671875" style="5" customWidth="1"/>
    <col min="17" max="17" width="8.88671875" style="5"/>
    <col min="18" max="18" width="9.6640625" style="5" bestFit="1" customWidth="1"/>
    <col min="19" max="20" width="8.88671875" style="5"/>
    <col min="21" max="21" width="8.88671875" style="5" customWidth="1"/>
    <col min="22" max="24" width="8.88671875" style="5" hidden="1" customWidth="1"/>
    <col min="25" max="41" width="8.88671875" style="5"/>
    <col min="42" max="16384" width="8.88671875" style="213"/>
  </cols>
  <sheetData>
    <row r="1" spans="1:47" ht="70.150000000000006" customHeight="1" thickBot="1" x14ac:dyDescent="0.25">
      <c r="A1" s="6"/>
      <c r="B1" s="211"/>
      <c r="C1" s="212"/>
      <c r="D1" s="431" t="s">
        <v>183</v>
      </c>
      <c r="E1" s="431"/>
      <c r="F1" s="431"/>
      <c r="G1" s="431"/>
      <c r="H1" s="431"/>
      <c r="I1" s="431"/>
      <c r="J1" s="431"/>
      <c r="K1" s="431"/>
      <c r="AP1" s="217"/>
      <c r="AQ1" s="217"/>
      <c r="AR1" s="217"/>
      <c r="AS1" s="217"/>
      <c r="AT1" s="217"/>
      <c r="AU1" s="217"/>
    </row>
    <row r="2" spans="1:47" s="214" customFormat="1" ht="33" customHeight="1" thickBot="1" x14ac:dyDescent="0.25">
      <c r="A2" s="126" t="s">
        <v>0</v>
      </c>
      <c r="B2" s="434"/>
      <c r="C2" s="435"/>
      <c r="D2" s="436"/>
      <c r="E2" s="36" t="s">
        <v>1</v>
      </c>
      <c r="F2" s="438"/>
      <c r="G2" s="439"/>
      <c r="H2" s="437" t="s">
        <v>148</v>
      </c>
      <c r="I2" s="437"/>
      <c r="J2" s="432"/>
      <c r="K2" s="43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246"/>
      <c r="AO2" s="246"/>
      <c r="AP2" s="246"/>
      <c r="AQ2" s="246"/>
      <c r="AR2" s="246"/>
      <c r="AS2" s="246"/>
      <c r="AT2" s="246"/>
      <c r="AU2" s="246"/>
    </row>
    <row r="3" spans="1:47" s="214" customFormat="1" ht="21" x14ac:dyDescent="0.2">
      <c r="A3" s="127" t="s">
        <v>3</v>
      </c>
      <c r="B3" s="124"/>
      <c r="C3" s="125"/>
      <c r="D3" s="10"/>
      <c r="E3" s="247"/>
      <c r="F3" s="11"/>
      <c r="G3" s="12"/>
      <c r="H3" s="247"/>
      <c r="I3" s="11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46"/>
      <c r="AP3" s="246"/>
      <c r="AQ3" s="246"/>
      <c r="AR3" s="246"/>
      <c r="AS3" s="246"/>
      <c r="AT3" s="246"/>
      <c r="AU3" s="246"/>
    </row>
    <row r="4" spans="1:47" ht="18" customHeight="1" x14ac:dyDescent="0.2">
      <c r="A4" s="13"/>
      <c r="B4" s="31"/>
      <c r="C4" s="32"/>
      <c r="D4" s="14"/>
      <c r="E4" s="14"/>
      <c r="F4" s="14"/>
      <c r="G4" s="15"/>
      <c r="H4" s="16"/>
      <c r="I4" s="217"/>
      <c r="K4" s="217"/>
      <c r="AP4" s="217"/>
      <c r="AQ4" s="217"/>
      <c r="AR4" s="217"/>
      <c r="AS4" s="217"/>
      <c r="AT4" s="217"/>
      <c r="AU4" s="217"/>
    </row>
    <row r="5" spans="1:47" s="216" customFormat="1" ht="33" customHeight="1" x14ac:dyDescent="0.2">
      <c r="A5" s="17"/>
      <c r="B5" s="23"/>
      <c r="C5" s="440" t="s">
        <v>4</v>
      </c>
      <c r="D5" s="444"/>
      <c r="E5" s="128"/>
      <c r="F5" s="111" t="s">
        <v>181</v>
      </c>
      <c r="G5" s="130"/>
      <c r="H5" s="111" t="s">
        <v>182</v>
      </c>
      <c r="I5" s="130"/>
      <c r="J5" s="112" t="s">
        <v>5</v>
      </c>
      <c r="K5" s="131">
        <f>(G5*I5)/60</f>
        <v>0</v>
      </c>
      <c r="L5" s="215"/>
      <c r="M5" s="5"/>
      <c r="N5" s="5"/>
      <c r="O5" s="5"/>
      <c r="P5" s="5"/>
      <c r="Q5" s="18"/>
      <c r="R5" s="18"/>
      <c r="S5" s="18"/>
      <c r="T5" s="18"/>
      <c r="U5" s="18"/>
      <c r="V5" s="18"/>
      <c r="W5" s="19"/>
      <c r="X5" s="19"/>
      <c r="Y5" s="18"/>
      <c r="Z5" s="21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7" ht="18" customHeight="1" x14ac:dyDescent="0.2">
      <c r="A6" s="33"/>
      <c r="B6" s="34"/>
      <c r="C6" s="248"/>
      <c r="D6" s="248"/>
      <c r="E6" s="248"/>
      <c r="F6" s="249"/>
      <c r="G6" s="217"/>
      <c r="M6" s="217"/>
      <c r="AP6" s="217"/>
      <c r="AQ6" s="217"/>
      <c r="AR6" s="217"/>
      <c r="AS6" s="217"/>
      <c r="AT6" s="217"/>
      <c r="AU6" s="217"/>
    </row>
    <row r="7" spans="1:47" ht="30" customHeight="1" x14ac:dyDescent="0.2">
      <c r="A7" s="216"/>
      <c r="B7" s="277" t="s">
        <v>161</v>
      </c>
      <c r="J7" s="113" t="s">
        <v>9</v>
      </c>
      <c r="K7" s="133">
        <f>IF($K$5=0,0,$E$5/$K$5)</f>
        <v>0</v>
      </c>
    </row>
    <row r="8" spans="1:47" ht="18" customHeight="1" x14ac:dyDescent="0.2">
      <c r="A8" s="13"/>
      <c r="B8" s="31"/>
      <c r="C8" s="32"/>
      <c r="D8" s="14"/>
      <c r="E8" s="14"/>
      <c r="F8" s="14"/>
      <c r="G8" s="15"/>
      <c r="H8" s="31"/>
      <c r="I8" s="15"/>
      <c r="J8" s="15"/>
      <c r="K8" s="132"/>
      <c r="L8" s="15"/>
      <c r="AP8" s="217"/>
      <c r="AQ8" s="217"/>
      <c r="AR8" s="217"/>
      <c r="AS8" s="217"/>
      <c r="AT8" s="217"/>
      <c r="AU8" s="217"/>
    </row>
    <row r="9" spans="1:47" s="216" customFormat="1" ht="30" customHeight="1" x14ac:dyDescent="0.2">
      <c r="A9" s="17"/>
      <c r="B9" s="23"/>
      <c r="C9" s="32"/>
      <c r="D9" s="14"/>
      <c r="E9" s="14"/>
      <c r="F9" s="14"/>
      <c r="G9" s="14"/>
      <c r="I9" s="442" t="s">
        <v>10</v>
      </c>
      <c r="J9" s="443"/>
      <c r="K9" s="333" t="str">
        <f>IF(A60=1,"",IF(AND(A60=2,K7&gt;= 400000),"Yes",IF(AND(OR(A60=3,A$60=5),K7&gt;= 750000),"Yes",IF(AND(A60=4,K7&gt;= 800000),"Yes","No"))))</f>
        <v/>
      </c>
      <c r="L9" s="237" t="str">
        <f>IFERROR(IF(K9="Yes","For live action eligible projects",""),"")</f>
        <v/>
      </c>
      <c r="M9" s="31"/>
      <c r="N9" s="31"/>
      <c r="O9" s="215"/>
      <c r="P9" s="5"/>
      <c r="Q9" s="5"/>
      <c r="R9" s="5"/>
      <c r="S9" s="5"/>
      <c r="T9" s="18"/>
      <c r="U9" s="18"/>
      <c r="V9" s="18"/>
      <c r="W9" s="18"/>
      <c r="X9" s="18"/>
      <c r="Y9" s="18"/>
      <c r="Z9" s="19"/>
      <c r="AA9" s="19"/>
      <c r="AB9" s="18"/>
      <c r="AC9" s="21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7" customFormat="1" ht="33" customHeight="1" x14ac:dyDescent="0.2">
      <c r="A10" s="440" t="s">
        <v>171</v>
      </c>
      <c r="B10" s="441"/>
      <c r="C10" s="296"/>
      <c r="D10" s="237" t="str">
        <f>IF(AND(C11&gt;0,C10=""),"Answer required","")</f>
        <v/>
      </c>
    </row>
    <row r="11" spans="1:47" s="217" customFormat="1" ht="33" customHeight="1" x14ac:dyDescent="0.2">
      <c r="A11" s="440" t="s">
        <v>170</v>
      </c>
      <c r="B11" s="441" t="s">
        <v>170</v>
      </c>
      <c r="C11" s="128"/>
      <c r="F11" s="5"/>
      <c r="H11" s="5"/>
      <c r="I11" s="5"/>
      <c r="J11" s="280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47" customFormat="1" ht="18" hidden="1" customHeight="1" x14ac:dyDescent="0.2">
      <c r="A12" s="5"/>
      <c r="B12" s="7"/>
      <c r="C12" s="5"/>
    </row>
    <row r="13" spans="1:47" customFormat="1" ht="18" hidden="1" customHeight="1" x14ac:dyDescent="0.2"/>
    <row r="14" spans="1:47" customFormat="1" ht="18" customHeight="1" x14ac:dyDescent="0.2">
      <c r="A14" s="5"/>
    </row>
    <row r="15" spans="1:47" ht="18" customHeight="1" x14ac:dyDescent="0.2">
      <c r="A15" s="405" t="s">
        <v>220</v>
      </c>
      <c r="B15" s="262"/>
      <c r="C15" s="253"/>
      <c r="D15" s="263"/>
      <c r="E15" s="260"/>
      <c r="G15" s="217"/>
      <c r="K15" s="26"/>
      <c r="AJ15" s="217"/>
      <c r="AK15" s="217"/>
      <c r="AL15" s="217"/>
      <c r="AM15" s="217"/>
      <c r="AN15" s="217"/>
      <c r="AO15" s="217"/>
    </row>
    <row r="16" spans="1:47" ht="18" customHeight="1" x14ac:dyDescent="0.2">
      <c r="A16" s="300" t="s">
        <v>184</v>
      </c>
      <c r="B16" s="264"/>
      <c r="C16" s="264"/>
      <c r="D16" s="264"/>
      <c r="E16" s="264"/>
      <c r="F16" s="264"/>
      <c r="G16" s="265"/>
      <c r="H16" s="265"/>
      <c r="I16" s="265"/>
      <c r="J16" s="215"/>
      <c r="AN16" s="217"/>
      <c r="AO16" s="217"/>
    </row>
    <row r="17" spans="1:42" ht="18" customHeight="1" x14ac:dyDescent="0.25">
      <c r="A17" s="254" t="s">
        <v>160</v>
      </c>
      <c r="B17" s="261"/>
      <c r="C17" s="261"/>
      <c r="D17" s="261"/>
      <c r="E17" s="261"/>
      <c r="G17" s="226"/>
      <c r="H17" s="251"/>
      <c r="I17" s="229" t="s">
        <v>185</v>
      </c>
      <c r="J17" s="227"/>
      <c r="K17" s="228"/>
      <c r="AJ17" s="217"/>
      <c r="AK17" s="217"/>
      <c r="AL17" s="217"/>
      <c r="AM17" s="217"/>
      <c r="AN17" s="217"/>
      <c r="AO17" s="217"/>
    </row>
    <row r="18" spans="1:42" ht="60" customHeight="1" x14ac:dyDescent="0.2">
      <c r="A18" s="454" t="s">
        <v>207</v>
      </c>
      <c r="B18" s="455"/>
      <c r="C18" s="176" t="s">
        <v>172</v>
      </c>
      <c r="D18" s="177" t="s">
        <v>221</v>
      </c>
      <c r="E18" s="177" t="s">
        <v>186</v>
      </c>
      <c r="F18" s="177" t="s">
        <v>187</v>
      </c>
      <c r="G18" s="101" t="s">
        <v>149</v>
      </c>
      <c r="H18" s="101" t="s">
        <v>11</v>
      </c>
      <c r="I18" s="101" t="s">
        <v>12</v>
      </c>
      <c r="J18" s="101" t="s">
        <v>152</v>
      </c>
      <c r="K18" s="101" t="s">
        <v>13</v>
      </c>
      <c r="AJ18" s="217"/>
      <c r="AK18" s="217"/>
      <c r="AL18" s="217"/>
      <c r="AM18" s="217"/>
      <c r="AN18" s="217"/>
      <c r="AO18" s="217"/>
    </row>
    <row r="19" spans="1:42" s="68" customFormat="1" ht="30" customHeight="1" x14ac:dyDescent="0.2">
      <c r="A19" s="83"/>
      <c r="B19" s="361" t="s">
        <v>170</v>
      </c>
      <c r="C19" s="409">
        <f>IF(C10="Yes",C11,0)</f>
        <v>0</v>
      </c>
      <c r="D19" s="410"/>
      <c r="E19" s="283"/>
      <c r="G19" s="283"/>
      <c r="H19" s="283"/>
      <c r="I19" s="283"/>
      <c r="J19" s="283"/>
      <c r="K19" s="284"/>
      <c r="L19" s="220"/>
      <c r="M19" s="51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</row>
    <row r="20" spans="1:42" s="68" customFormat="1" ht="24.95" customHeight="1" x14ac:dyDescent="0.2">
      <c r="A20" s="101" t="s">
        <v>14</v>
      </c>
      <c r="B20" s="134"/>
      <c r="C20" s="411"/>
      <c r="D20" s="411"/>
      <c r="E20" s="301"/>
      <c r="F20" s="301"/>
      <c r="G20" s="336"/>
      <c r="H20" s="366">
        <f t="shared" ref="H20:H25" si="0">DATE(YEAR(G20),(MONTH(G20)+I20),DAY(G20))</f>
        <v>0</v>
      </c>
      <c r="I20" s="136"/>
      <c r="J20" s="136"/>
      <c r="K20" s="337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</row>
    <row r="21" spans="1:42" s="68" customFormat="1" ht="24.95" customHeight="1" x14ac:dyDescent="0.2">
      <c r="A21" s="118" t="s">
        <v>15</v>
      </c>
      <c r="B21" s="134"/>
      <c r="C21" s="411"/>
      <c r="D21" s="411"/>
      <c r="E21" s="302"/>
      <c r="F21" s="302"/>
      <c r="G21" s="336"/>
      <c r="H21" s="366">
        <f t="shared" si="0"/>
        <v>0</v>
      </c>
      <c r="I21" s="136"/>
      <c r="J21" s="136"/>
      <c r="K21" s="337"/>
      <c r="L21" s="51"/>
      <c r="M21" s="223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</row>
    <row r="22" spans="1:42" s="68" customFormat="1" ht="24.95" customHeight="1" x14ac:dyDescent="0.2">
      <c r="A22" s="118" t="s">
        <v>16</v>
      </c>
      <c r="B22" s="134"/>
      <c r="C22" s="411"/>
      <c r="D22" s="411"/>
      <c r="E22" s="302"/>
      <c r="F22" s="302"/>
      <c r="G22" s="336"/>
      <c r="H22" s="366">
        <f t="shared" si="0"/>
        <v>0</v>
      </c>
      <c r="I22" s="136"/>
      <c r="J22" s="136"/>
      <c r="K22" s="337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</row>
    <row r="23" spans="1:42" s="68" customFormat="1" ht="24.95" customHeight="1" x14ac:dyDescent="0.2">
      <c r="A23" s="118" t="s">
        <v>17</v>
      </c>
      <c r="B23" s="134"/>
      <c r="C23" s="411"/>
      <c r="D23" s="411"/>
      <c r="E23" s="302"/>
      <c r="F23" s="302"/>
      <c r="G23" s="336"/>
      <c r="H23" s="366">
        <f t="shared" si="0"/>
        <v>0</v>
      </c>
      <c r="I23" s="136"/>
      <c r="J23" s="136"/>
      <c r="K23" s="337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</row>
    <row r="24" spans="1:42" s="68" customFormat="1" ht="24.95" customHeight="1" x14ac:dyDescent="0.2">
      <c r="A24" s="118" t="s">
        <v>18</v>
      </c>
      <c r="B24" s="134"/>
      <c r="C24" s="411"/>
      <c r="D24" s="411"/>
      <c r="E24" s="302"/>
      <c r="F24" s="302"/>
      <c r="G24" s="336"/>
      <c r="H24" s="366">
        <f t="shared" si="0"/>
        <v>0</v>
      </c>
      <c r="I24" s="136"/>
      <c r="J24" s="136"/>
      <c r="K24" s="337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</row>
    <row r="25" spans="1:42" s="68" customFormat="1" ht="24.95" customHeight="1" thickBot="1" x14ac:dyDescent="0.25">
      <c r="A25" s="123" t="s">
        <v>19</v>
      </c>
      <c r="B25" s="138"/>
      <c r="C25" s="412"/>
      <c r="D25" s="412"/>
      <c r="E25" s="302"/>
      <c r="F25" s="302"/>
      <c r="G25" s="336"/>
      <c r="H25" s="366">
        <f t="shared" si="0"/>
        <v>0</v>
      </c>
      <c r="I25" s="136"/>
      <c r="J25" s="136"/>
      <c r="K25" s="337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</row>
    <row r="26" spans="1:42" s="68" customFormat="1" ht="20.25" customHeight="1" thickBot="1" x14ac:dyDescent="0.25">
      <c r="A26" s="453" t="s">
        <v>20</v>
      </c>
      <c r="B26" s="453"/>
      <c r="C26" s="413">
        <f>SUM(C19:C25)</f>
        <v>0</v>
      </c>
      <c r="D26" s="413">
        <f>SUM(D20:D25)</f>
        <v>0</v>
      </c>
      <c r="E26" s="408">
        <f>SUM(E20:E25)</f>
        <v>0</v>
      </c>
      <c r="F26" s="408">
        <f>SUM(F20:F25)</f>
        <v>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</row>
    <row r="27" spans="1:42" s="68" customFormat="1" ht="18" customHeight="1" x14ac:dyDescent="0.2">
      <c r="A27" s="43"/>
      <c r="B27" s="44"/>
      <c r="C27" s="45"/>
      <c r="D27" s="45"/>
      <c r="E27" s="45"/>
      <c r="F27" s="45"/>
      <c r="G27" s="46"/>
      <c r="H27" s="46"/>
      <c r="I27" s="47"/>
      <c r="J27" s="48"/>
      <c r="K27" s="48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2" s="68" customFormat="1" ht="25.5" customHeight="1" x14ac:dyDescent="0.2">
      <c r="A28" s="445" t="s">
        <v>21</v>
      </c>
      <c r="B28" s="447"/>
      <c r="C28" s="448"/>
      <c r="D28" s="448"/>
      <c r="E28" s="448"/>
      <c r="F28" s="448"/>
      <c r="G28" s="448"/>
      <c r="H28" s="448"/>
      <c r="I28" s="448"/>
      <c r="J28" s="448"/>
      <c r="K28" s="449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</row>
    <row r="29" spans="1:42" s="68" customFormat="1" ht="25.5" customHeight="1" x14ac:dyDescent="0.2">
      <c r="A29" s="446"/>
      <c r="B29" s="450"/>
      <c r="C29" s="451"/>
      <c r="D29" s="451"/>
      <c r="E29" s="451"/>
      <c r="F29" s="451"/>
      <c r="G29" s="451"/>
      <c r="H29" s="451"/>
      <c r="I29" s="451"/>
      <c r="J29" s="451"/>
      <c r="K29" s="452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</row>
    <row r="30" spans="1:42" s="68" customFormat="1" ht="15.75" customHeight="1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1:42" s="68" customFormat="1" ht="21.95" customHeight="1" x14ac:dyDescent="0.2">
      <c r="A31" s="52" t="s">
        <v>198</v>
      </c>
      <c r="B31" s="53"/>
      <c r="C31" s="54"/>
      <c r="D31" s="55"/>
      <c r="E31" s="55"/>
      <c r="F31" s="58"/>
      <c r="G31" s="56"/>
      <c r="H31" s="427" t="s">
        <v>193</v>
      </c>
      <c r="I31" s="428"/>
      <c r="J31" s="51"/>
      <c r="K31" s="223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2" s="218" customFormat="1" ht="54.95" customHeight="1" x14ac:dyDescent="0.2">
      <c r="A32" s="454" t="s">
        <v>214</v>
      </c>
      <c r="B32" s="455"/>
      <c r="C32" s="103" t="s">
        <v>180</v>
      </c>
      <c r="D32" s="103" t="s">
        <v>199</v>
      </c>
      <c r="E32" s="159" t="s">
        <v>22</v>
      </c>
      <c r="F32" s="159" t="s">
        <v>23</v>
      </c>
      <c r="G32" s="241" t="s">
        <v>188</v>
      </c>
      <c r="H32" s="241" t="s">
        <v>189</v>
      </c>
      <c r="I32" s="241" t="s">
        <v>190</v>
      </c>
      <c r="J32" s="308" t="s">
        <v>191</v>
      </c>
      <c r="K32" s="241" t="s">
        <v>24</v>
      </c>
      <c r="L32" s="308" t="s">
        <v>192</v>
      </c>
      <c r="N32" s="105"/>
      <c r="O32" s="105"/>
      <c r="P32" s="105"/>
      <c r="Q32" s="105"/>
      <c r="R32" s="105"/>
      <c r="S32" s="105"/>
      <c r="T32" s="105"/>
      <c r="U32" s="105"/>
      <c r="V32" s="101" t="s">
        <v>25</v>
      </c>
      <c r="W32" s="101" t="s">
        <v>26</v>
      </c>
      <c r="X32" s="104" t="s">
        <v>27</v>
      </c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</row>
    <row r="33" spans="1:42" s="68" customFormat="1" ht="30" customHeight="1" x14ac:dyDescent="0.2">
      <c r="A33" s="83"/>
      <c r="B33" s="285" t="s">
        <v>170</v>
      </c>
      <c r="C33" s="338">
        <f>IF(E$40-(E$5*20%)&lt;100000,E33,IF((E$5*20%)&lt;MIN(C11,N(J76)),ROUND(E$5*20%,0),MIN(C$11,N(J$76))))</f>
        <v>0</v>
      </c>
      <c r="D33" s="338">
        <f>E33-C33</f>
        <v>0</v>
      </c>
      <c r="E33" s="338">
        <f>MIN(C11,N(J76))</f>
        <v>0</v>
      </c>
      <c r="F33" s="395" t="str">
        <f t="shared" ref="F33:F39" si="1">IF($E$5=0,"",(C33+D33)/$E$5)</f>
        <v/>
      </c>
      <c r="G33" s="339"/>
      <c r="H33" s="340"/>
      <c r="I33" s="341"/>
      <c r="J33" s="342"/>
      <c r="K33" s="343"/>
      <c r="L33" s="344"/>
      <c r="N33"/>
      <c r="O33" s="51"/>
      <c r="P33" s="51"/>
      <c r="Q33" s="51"/>
      <c r="R33" s="51"/>
      <c r="S33" s="51"/>
      <c r="T33" s="51"/>
      <c r="U33" s="51"/>
      <c r="V33" s="85"/>
      <c r="W33" s="85"/>
      <c r="X33" s="85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s="68" customFormat="1" ht="15.75" x14ac:dyDescent="0.2">
      <c r="A34" s="118" t="s">
        <v>14</v>
      </c>
      <c r="B34" s="76">
        <f>$B$20</f>
        <v>0</v>
      </c>
      <c r="C34" s="338">
        <f>IF(($C$40-$C$33)&gt;0,ROUND((E34/($E$40-$E$33)*($C$40-$C$33)),0),0)</f>
        <v>0</v>
      </c>
      <c r="D34" s="345">
        <f t="shared" ref="D34:D40" si="2">E34-C34</f>
        <v>0</v>
      </c>
      <c r="E34" s="345">
        <f>IF($C$26&gt;0,ROUND((C20/($C$26-$C$19)*($E$40-$E$33)),0),0)</f>
        <v>0</v>
      </c>
      <c r="F34" s="305" t="str">
        <f t="shared" si="1"/>
        <v/>
      </c>
      <c r="G34" s="346">
        <f>$H$46</f>
        <v>0</v>
      </c>
      <c r="H34" s="309" t="s">
        <v>28</v>
      </c>
      <c r="I34" s="309" t="s">
        <v>28</v>
      </c>
      <c r="J34" s="310" t="str">
        <f>IF(E$5=0,"",(G34+N(H34)+N(I34))/E$5)</f>
        <v/>
      </c>
      <c r="K34" s="347"/>
      <c r="L34" s="311">
        <f>MAX(D20+E20+F20-G34-N(H34)-N(I34),0)</f>
        <v>0</v>
      </c>
      <c r="N34"/>
      <c r="O34" s="51"/>
      <c r="P34" s="51"/>
      <c r="Q34" s="51"/>
      <c r="R34" s="51"/>
      <c r="S34" s="51"/>
      <c r="T34" s="51"/>
      <c r="U34" s="51"/>
      <c r="V34" s="79">
        <f>IF(I20&lt;72,I20,72)</f>
        <v>0</v>
      </c>
      <c r="W34" s="79">
        <f t="shared" ref="W34:W39" si="3">J20</f>
        <v>0</v>
      </c>
      <c r="X34" s="79" t="s">
        <v>28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s="68" customFormat="1" ht="15.75" x14ac:dyDescent="0.2">
      <c r="A35" s="118" t="s">
        <v>15</v>
      </c>
      <c r="B35" s="76">
        <f>$B$21</f>
        <v>0</v>
      </c>
      <c r="C35" s="338">
        <f t="shared" ref="C35:C39" si="4">IF(($C$40-$C$33)&gt;0,ROUND((E35/($E$40-$E$33)*($C$40-$C$33)),0),0)</f>
        <v>0</v>
      </c>
      <c r="D35" s="345">
        <f t="shared" si="2"/>
        <v>0</v>
      </c>
      <c r="E35" s="345">
        <f t="shared" ref="E35:E39" si="5">IF($C$26&gt;0,ROUND((C21/($C$26-$C$19)*($E$40-$E$33)),0),0)</f>
        <v>0</v>
      </c>
      <c r="F35" s="305" t="str">
        <f t="shared" si="1"/>
        <v/>
      </c>
      <c r="G35" s="348">
        <f>$H$48</f>
        <v>0</v>
      </c>
      <c r="H35" s="303" t="str">
        <f>IF(E$26=0,"",ROUND((E21*H$40/E$26),0))</f>
        <v/>
      </c>
      <c r="I35" s="303" t="str">
        <f>IF(I$40&gt;0,MIN(F21,(F21/F$26)*I$40),"")</f>
        <v/>
      </c>
      <c r="J35" s="305" t="str">
        <f t="shared" ref="J35:J39" si="6">IF($E$5=0,"",(G35+N(H35)+N(I35))/E$5)</f>
        <v/>
      </c>
      <c r="K35" s="347"/>
      <c r="L35" s="303">
        <f t="shared" ref="L35:L39" si="7">MAX(D21+E21+F21-G35-N(H35)-N(I35),0)</f>
        <v>0</v>
      </c>
      <c r="N35"/>
      <c r="O35" s="51"/>
      <c r="P35" s="51"/>
      <c r="Q35" s="51"/>
      <c r="R35" s="51"/>
      <c r="S35" s="51"/>
      <c r="T35" s="51"/>
      <c r="U35" s="51"/>
      <c r="V35" s="80">
        <f>IF(I21=0,0,IF(I21&lt;F48,I21,$F$48))</f>
        <v>0</v>
      </c>
      <c r="W35" s="79">
        <f t="shared" si="3"/>
        <v>0</v>
      </c>
      <c r="X35" s="81">
        <f>IF(G21&gt;DATE(YEAR(G$20),MONTH(G$20)+W34,DAY(G$20)),G21,DATE(YEAR(G$20),MONTH(G$20)+W34,DAY(G$20)))</f>
        <v>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s="68" customFormat="1" ht="15.75" x14ac:dyDescent="0.2">
      <c r="A36" s="118" t="s">
        <v>16</v>
      </c>
      <c r="B36" s="76">
        <f>$B$22</f>
        <v>0</v>
      </c>
      <c r="C36" s="338">
        <f t="shared" si="4"/>
        <v>0</v>
      </c>
      <c r="D36" s="345">
        <f t="shared" si="2"/>
        <v>0</v>
      </c>
      <c r="E36" s="345">
        <f t="shared" si="5"/>
        <v>0</v>
      </c>
      <c r="F36" s="305" t="str">
        <f t="shared" si="1"/>
        <v/>
      </c>
      <c r="G36" s="348">
        <f>$H$50</f>
        <v>0</v>
      </c>
      <c r="H36" s="303" t="str">
        <f t="shared" ref="H36:H39" si="8">IF(E$26=0,"",ROUND((E22*H$40/E$26),0))</f>
        <v/>
      </c>
      <c r="I36" s="303" t="str">
        <f t="shared" ref="I36:I39" si="9">IF(I$40&gt;0,MIN(F22,(F22/F$26)*I$40),"")</f>
        <v/>
      </c>
      <c r="J36" s="305" t="str">
        <f t="shared" si="6"/>
        <v/>
      </c>
      <c r="K36" s="347"/>
      <c r="L36" s="303">
        <f t="shared" si="7"/>
        <v>0</v>
      </c>
      <c r="N36"/>
      <c r="O36" s="51"/>
      <c r="P36" s="51"/>
      <c r="Q36" s="51"/>
      <c r="R36" s="51"/>
      <c r="S36" s="51"/>
      <c r="T36" s="51"/>
      <c r="U36" s="51"/>
      <c r="V36" s="80">
        <f>IF(I22=0,0,IF(I22&lt;F50,I22,$F$50))</f>
        <v>0</v>
      </c>
      <c r="W36" s="79">
        <f t="shared" si="3"/>
        <v>0</v>
      </c>
      <c r="X36" s="81">
        <f>IF(G22&gt;DATE(YEAR(G$20),MONTH(G$20)+W34+W35,DAY(G$20)),G22,DATE(YEAR(G$20),MONTH(G$20)+W34+W$35,DAY(G$20)))</f>
        <v>0</v>
      </c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s="68" customFormat="1" ht="15.75" customHeight="1" x14ac:dyDescent="0.2">
      <c r="A37" s="118" t="s">
        <v>17</v>
      </c>
      <c r="B37" s="76">
        <f>$B$23</f>
        <v>0</v>
      </c>
      <c r="C37" s="338">
        <f t="shared" si="4"/>
        <v>0</v>
      </c>
      <c r="D37" s="345">
        <f t="shared" si="2"/>
        <v>0</v>
      </c>
      <c r="E37" s="345">
        <f t="shared" si="5"/>
        <v>0</v>
      </c>
      <c r="F37" s="305" t="str">
        <f t="shared" si="1"/>
        <v/>
      </c>
      <c r="G37" s="348">
        <f>$H$52</f>
        <v>0</v>
      </c>
      <c r="H37" s="303" t="str">
        <f t="shared" si="8"/>
        <v/>
      </c>
      <c r="I37" s="303" t="str">
        <f t="shared" si="9"/>
        <v/>
      </c>
      <c r="J37" s="305" t="str">
        <f t="shared" si="6"/>
        <v/>
      </c>
      <c r="K37" s="347"/>
      <c r="L37" s="303">
        <f t="shared" si="7"/>
        <v>0</v>
      </c>
      <c r="N37"/>
      <c r="O37" s="51"/>
      <c r="P37" s="51"/>
      <c r="Q37" s="51"/>
      <c r="R37" s="51"/>
      <c r="S37" s="51"/>
      <c r="T37" s="51"/>
      <c r="U37" s="51"/>
      <c r="V37" s="80">
        <f>IF(I23=0,0,IF(I23&lt;F52,I23,$F$52))</f>
        <v>0</v>
      </c>
      <c r="W37" s="79">
        <f t="shared" si="3"/>
        <v>0</v>
      </c>
      <c r="X37" s="81">
        <f>IF(G23&gt;DATE(YEAR(G$20),MONTH(G$20)+W$34+W$35+W36,DAY(G$20)),G23,DATE(YEAR(G$20),MONTH(G$20)+W$34+W$35+W36,DAY(G$20)))</f>
        <v>0</v>
      </c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s="68" customFormat="1" ht="15.75" x14ac:dyDescent="0.2">
      <c r="A38" s="118" t="s">
        <v>18</v>
      </c>
      <c r="B38" s="76">
        <f>$B$24</f>
        <v>0</v>
      </c>
      <c r="C38" s="338">
        <f t="shared" si="4"/>
        <v>0</v>
      </c>
      <c r="D38" s="345">
        <f t="shared" si="2"/>
        <v>0</v>
      </c>
      <c r="E38" s="345">
        <f t="shared" si="5"/>
        <v>0</v>
      </c>
      <c r="F38" s="305" t="str">
        <f t="shared" si="1"/>
        <v/>
      </c>
      <c r="G38" s="348">
        <f>$H$54</f>
        <v>0</v>
      </c>
      <c r="H38" s="303" t="str">
        <f t="shared" si="8"/>
        <v/>
      </c>
      <c r="I38" s="303" t="str">
        <f t="shared" si="9"/>
        <v/>
      </c>
      <c r="J38" s="305" t="str">
        <f t="shared" si="6"/>
        <v/>
      </c>
      <c r="K38" s="347"/>
      <c r="L38" s="303">
        <f t="shared" si="7"/>
        <v>0</v>
      </c>
      <c r="N38"/>
      <c r="O38" s="51"/>
      <c r="P38" s="51"/>
      <c r="Q38" s="51"/>
      <c r="R38" s="51"/>
      <c r="S38" s="51"/>
      <c r="T38" s="51"/>
      <c r="U38" s="51"/>
      <c r="V38" s="80">
        <f>IF(I24=0,0,IF(I24&lt;F54,I24,$F$54))</f>
        <v>0</v>
      </c>
      <c r="W38" s="79">
        <f t="shared" si="3"/>
        <v>0</v>
      </c>
      <c r="X38" s="81">
        <f>IF(G24&gt;DATE(YEAR(G$20),MONTH(G$20)+W$34+W$35+W36+W37,DAY(G$20)),G24,DATE(YEAR(G$20),MONTH(G$20)+W$34+W$35+W36+W37,DAY(G$20)))</f>
        <v>0</v>
      </c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</row>
    <row r="39" spans="1:42" s="68" customFormat="1" ht="16.5" thickBot="1" x14ac:dyDescent="0.25">
      <c r="A39" s="101" t="s">
        <v>19</v>
      </c>
      <c r="B39" s="82">
        <f>$B$25</f>
        <v>0</v>
      </c>
      <c r="C39" s="338">
        <f t="shared" si="4"/>
        <v>0</v>
      </c>
      <c r="D39" s="349">
        <f t="shared" si="2"/>
        <v>0</v>
      </c>
      <c r="E39" s="345">
        <f t="shared" si="5"/>
        <v>0</v>
      </c>
      <c r="F39" s="396" t="str">
        <f t="shared" si="1"/>
        <v/>
      </c>
      <c r="G39" s="350">
        <f>$H$56</f>
        <v>0</v>
      </c>
      <c r="H39" s="303" t="str">
        <f t="shared" si="8"/>
        <v/>
      </c>
      <c r="I39" s="303" t="str">
        <f t="shared" si="9"/>
        <v/>
      </c>
      <c r="J39" s="305" t="str">
        <f t="shared" si="6"/>
        <v/>
      </c>
      <c r="K39" s="347"/>
      <c r="L39" s="303">
        <f t="shared" si="7"/>
        <v>0</v>
      </c>
      <c r="N39"/>
      <c r="O39" s="51"/>
      <c r="P39" s="51"/>
      <c r="Q39" s="51"/>
      <c r="R39" s="51"/>
      <c r="S39" s="51"/>
      <c r="T39" s="51"/>
      <c r="U39" s="51"/>
      <c r="V39" s="80">
        <f>IF(I25=0,0,IF(I25&lt;F56,I25,$F$56))</f>
        <v>0</v>
      </c>
      <c r="W39" s="79">
        <f t="shared" si="3"/>
        <v>0</v>
      </c>
      <c r="X39" s="81">
        <f>IF(G25&gt;DATE(YEAR(G$20),MONTH(G$20)+W$34+W$35+W36+W37+W38,DAY(G$20)),G25,DATE(YEAR(G$20),MONTH(G$20)+W$34+W$35+W36+W37+W38,DAY(G$20)))</f>
        <v>0</v>
      </c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</row>
    <row r="40" spans="1:42" s="219" customFormat="1" ht="24" customHeight="1" thickBot="1" x14ac:dyDescent="0.25">
      <c r="A40" s="87"/>
      <c r="B40" s="140" t="s">
        <v>20</v>
      </c>
      <c r="C40" s="362">
        <f>IF($E$40-($E$5*20%)&lt;100000,$E$40,IF($E$5*20%&lt;$E$40,ROUND($E$5*20%,0),$E$40))</f>
        <v>0</v>
      </c>
      <c r="D40" s="363">
        <f t="shared" si="2"/>
        <v>0</v>
      </c>
      <c r="E40" s="363">
        <f>MIN(C26,D76)</f>
        <v>0</v>
      </c>
      <c r="F40" s="306">
        <f>SUM(F33:F39)</f>
        <v>0</v>
      </c>
      <c r="G40" s="364">
        <f>SUM(G34:G39)</f>
        <v>0</v>
      </c>
      <c r="H40" s="304">
        <f>MIN(E$26,G$65)</f>
        <v>0</v>
      </c>
      <c r="I40" s="304">
        <f>IF(G$40=0,0,MIN(F$26,H$65))</f>
        <v>0</v>
      </c>
      <c r="J40" s="306">
        <f>SUM(J34:J39)</f>
        <v>0</v>
      </c>
      <c r="K40" s="365">
        <f>G40+H40+I40</f>
        <v>0</v>
      </c>
      <c r="L40" s="304">
        <f>SUM(L34:L39)</f>
        <v>0</v>
      </c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</row>
    <row r="41" spans="1:42" customFormat="1" ht="18" customHeight="1" x14ac:dyDescent="0.2">
      <c r="A41" s="429" t="s">
        <v>197</v>
      </c>
      <c r="B41" s="430"/>
      <c r="C41" s="430"/>
      <c r="D41" s="430"/>
      <c r="E41" s="430"/>
      <c r="F41" s="255"/>
      <c r="G41" s="255"/>
      <c r="H41" s="255"/>
      <c r="I41" s="255"/>
      <c r="J41" s="256"/>
    </row>
    <row r="42" spans="1:42" s="68" customFormat="1" ht="18" customHeight="1" x14ac:dyDescent="0.2">
      <c r="A42" s="313"/>
      <c r="B42" s="298"/>
      <c r="C42" s="298"/>
      <c r="D42" s="298"/>
      <c r="E42" s="298"/>
      <c r="F42" s="298"/>
      <c r="G42" s="298"/>
      <c r="H42" s="334" t="str">
        <f>IF(AND(A$60=3,G40&gt;0,F26&gt;0,E5&gt;0),"ELF &amp; Distributor MMC / Threshold:","")</f>
        <v/>
      </c>
      <c r="I42" s="335" t="str">
        <f>IF(AND(A$60=3,G40&gt;0,F26&gt;0,E5&gt;0),SUM(G40,N(H40))/N(D65),"")</f>
        <v/>
      </c>
      <c r="J42" s="299"/>
      <c r="L42" s="57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</row>
    <row r="43" spans="1:42" ht="18" customHeight="1" x14ac:dyDescent="0.2"/>
    <row r="44" spans="1:42" s="68" customFormat="1" ht="18" hidden="1" customHeight="1" x14ac:dyDescent="0.2"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</row>
    <row r="45" spans="1:42" s="68" customFormat="1" ht="21.95" customHeight="1" x14ac:dyDescent="0.2">
      <c r="A45" s="52" t="s">
        <v>29</v>
      </c>
      <c r="B45" s="53"/>
      <c r="I45" s="51"/>
      <c r="J45" s="51"/>
      <c r="K45" s="56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</row>
    <row r="46" spans="1:42" s="220" customFormat="1" ht="20.100000000000001" customHeight="1" x14ac:dyDescent="0.2">
      <c r="A46" s="118" t="s">
        <v>14</v>
      </c>
      <c r="B46" s="351">
        <f>D$20</f>
        <v>0</v>
      </c>
      <c r="C46" s="352" t="s">
        <v>30</v>
      </c>
      <c r="D46" s="353">
        <f>$I$20</f>
        <v>0</v>
      </c>
      <c r="E46" s="352" t="s">
        <v>31</v>
      </c>
      <c r="F46" s="353">
        <v>72</v>
      </c>
      <c r="G46" s="352" t="s">
        <v>32</v>
      </c>
      <c r="H46" s="351">
        <f>IF(I20&lt;72,B46,(B46/D46)*F46)</f>
        <v>0</v>
      </c>
      <c r="I46" s="417" t="s">
        <v>33</v>
      </c>
      <c r="J46" s="417"/>
      <c r="K46" s="359">
        <f>DATE(YEAR(G20),MONTH(G20)+72,DAY(G20))</f>
        <v>2192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</row>
    <row r="47" spans="1:42" s="68" customFormat="1" ht="20.100000000000001" customHeight="1" x14ac:dyDescent="0.2">
      <c r="A47" s="119"/>
      <c r="B47" s="354" t="s">
        <v>34</v>
      </c>
      <c r="C47" s="355"/>
      <c r="D47" s="356" t="s">
        <v>35</v>
      </c>
      <c r="E47" s="355"/>
      <c r="F47" s="356" t="s">
        <v>36</v>
      </c>
      <c r="G47" s="355"/>
      <c r="H47" s="354" t="s">
        <v>37</v>
      </c>
      <c r="I47" s="87"/>
      <c r="J47" s="87"/>
      <c r="K47" s="88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spans="1:42" s="68" customFormat="1" ht="20.100000000000001" customHeight="1" x14ac:dyDescent="0.2">
      <c r="A48" s="120" t="s">
        <v>15</v>
      </c>
      <c r="B48" s="351">
        <f>$D$21</f>
        <v>0</v>
      </c>
      <c r="C48" s="352" t="s">
        <v>30</v>
      </c>
      <c r="D48" s="353">
        <f>$I$21</f>
        <v>0</v>
      </c>
      <c r="E48" s="352" t="s">
        <v>31</v>
      </c>
      <c r="F48" s="357">
        <f>IF((YEAR(K$46)-YEAR(X35))*12+MONTH(K$46)-MONTH(X35)&lt;0,0,(YEAR(K$46)-YEAR(X35))*12+MONTH(K$46)-MONTH(X35))</f>
        <v>71</v>
      </c>
      <c r="G48" s="352" t="s">
        <v>32</v>
      </c>
      <c r="H48" s="351">
        <f>IF(D21=0,0,IF(D48&lt;F48,B48,(B48/D48)*F48))</f>
        <v>0</v>
      </c>
      <c r="I48" s="89"/>
      <c r="J48" s="89"/>
      <c r="K48" s="90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2" s="68" customFormat="1" ht="20.100000000000001" customHeight="1" x14ac:dyDescent="0.2">
      <c r="A49" s="121"/>
      <c r="B49" s="354" t="s">
        <v>34</v>
      </c>
      <c r="C49" s="355"/>
      <c r="D49" s="356" t="s">
        <v>35</v>
      </c>
      <c r="E49" s="355"/>
      <c r="F49" s="356" t="s">
        <v>36</v>
      </c>
      <c r="G49" s="355"/>
      <c r="H49" s="354" t="s">
        <v>37</v>
      </c>
      <c r="I49" s="87"/>
      <c r="J49" s="87"/>
      <c r="K49" s="88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</row>
    <row r="50" spans="1:42" s="68" customFormat="1" ht="20.100000000000001" customHeight="1" x14ac:dyDescent="0.2">
      <c r="A50" s="120" t="s">
        <v>16</v>
      </c>
      <c r="B50" s="351">
        <f>$D$22</f>
        <v>0</v>
      </c>
      <c r="C50" s="352" t="s">
        <v>30</v>
      </c>
      <c r="D50" s="353">
        <f>$I$22</f>
        <v>0</v>
      </c>
      <c r="E50" s="352" t="s">
        <v>31</v>
      </c>
      <c r="F50" s="357">
        <f>IF((YEAR(K$46)-YEAR(X36))*12+MONTH(K$46)-MONTH(X36)&lt;0,0,(YEAR(K$46)-YEAR(X36))*12+MONTH(K$46)-MONTH(X36))</f>
        <v>71</v>
      </c>
      <c r="G50" s="352" t="s">
        <v>32</v>
      </c>
      <c r="H50" s="351">
        <f>IF(D22=0,0,IF(D50&lt;F50,B50,(B50/D50)*F50))</f>
        <v>0</v>
      </c>
      <c r="I50" s="89"/>
      <c r="J50" s="89"/>
      <c r="K50" s="90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</row>
    <row r="51" spans="1:42" s="68" customFormat="1" ht="20.100000000000001" customHeight="1" x14ac:dyDescent="0.2">
      <c r="A51" s="122"/>
      <c r="B51" s="354" t="s">
        <v>34</v>
      </c>
      <c r="C51" s="355"/>
      <c r="D51" s="356" t="s">
        <v>35</v>
      </c>
      <c r="E51" s="355"/>
      <c r="F51" s="356" t="s">
        <v>36</v>
      </c>
      <c r="G51" s="355"/>
      <c r="H51" s="354" t="s">
        <v>37</v>
      </c>
      <c r="I51" s="87"/>
      <c r="J51" s="87"/>
      <c r="K51" s="88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</row>
    <row r="52" spans="1:42" s="68" customFormat="1" ht="20.100000000000001" customHeight="1" x14ac:dyDescent="0.2">
      <c r="A52" s="120" t="s">
        <v>17</v>
      </c>
      <c r="B52" s="351">
        <f>$D$23</f>
        <v>0</v>
      </c>
      <c r="C52" s="352" t="s">
        <v>30</v>
      </c>
      <c r="D52" s="357">
        <f>$I$23</f>
        <v>0</v>
      </c>
      <c r="E52" s="352" t="s">
        <v>31</v>
      </c>
      <c r="F52" s="357">
        <f>IF((YEAR(K$46)-YEAR(X37))*12+MONTH(K$46)-MONTH(X37)&lt;0,0,(YEAR(K$46)-YEAR(X37))*12+MONTH(K$46)-MONTH(X37))</f>
        <v>71</v>
      </c>
      <c r="G52" s="352" t="s">
        <v>32</v>
      </c>
      <c r="H52" s="351">
        <f>IF(D23=0,0,IF(D52&lt;F52,B52,(B52/D52)*F52))</f>
        <v>0</v>
      </c>
      <c r="I52" s="89"/>
      <c r="J52" s="89"/>
      <c r="K52" s="90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</row>
    <row r="53" spans="1:42" s="68" customFormat="1" ht="20.100000000000001" customHeight="1" x14ac:dyDescent="0.2">
      <c r="A53" s="119"/>
      <c r="B53" s="354" t="s">
        <v>34</v>
      </c>
      <c r="C53" s="355"/>
      <c r="D53" s="356" t="s">
        <v>35</v>
      </c>
      <c r="E53" s="355"/>
      <c r="F53" s="356" t="s">
        <v>36</v>
      </c>
      <c r="G53" s="355"/>
      <c r="H53" s="354" t="s">
        <v>37</v>
      </c>
      <c r="I53" s="87"/>
      <c r="J53" s="87"/>
      <c r="K53" s="88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</row>
    <row r="54" spans="1:42" s="68" customFormat="1" ht="20.100000000000001" customHeight="1" x14ac:dyDescent="0.2">
      <c r="A54" s="120" t="s">
        <v>18</v>
      </c>
      <c r="B54" s="351">
        <f>$D$24</f>
        <v>0</v>
      </c>
      <c r="C54" s="352" t="s">
        <v>30</v>
      </c>
      <c r="D54" s="357">
        <f>$I$24</f>
        <v>0</v>
      </c>
      <c r="E54" s="352" t="s">
        <v>31</v>
      </c>
      <c r="F54" s="357">
        <f>IF((YEAR(K$46)-YEAR(X38))*12+MONTH(K$46)-MONTH(X38)&lt;0,0,(YEAR(K$46)-YEAR(X38))*12+MONTH(K$46)-MONTH(X38))</f>
        <v>71</v>
      </c>
      <c r="G54" s="352" t="s">
        <v>32</v>
      </c>
      <c r="H54" s="351">
        <f>IF(D24=0,0,IF(D54&lt;F54,B54,(B54/D54)*F54))</f>
        <v>0</v>
      </c>
      <c r="I54" s="89"/>
      <c r="J54" s="89"/>
      <c r="K54" s="90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</row>
    <row r="55" spans="1:42" s="68" customFormat="1" ht="20.100000000000001" customHeight="1" x14ac:dyDescent="0.2">
      <c r="A55" s="121"/>
      <c r="B55" s="354" t="s">
        <v>34</v>
      </c>
      <c r="C55" s="355"/>
      <c r="D55" s="356" t="s">
        <v>35</v>
      </c>
      <c r="E55" s="355"/>
      <c r="F55" s="356" t="s">
        <v>36</v>
      </c>
      <c r="G55" s="355"/>
      <c r="H55" s="354" t="s">
        <v>37</v>
      </c>
      <c r="I55" s="87"/>
      <c r="J55" s="87"/>
      <c r="K55" s="88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</row>
    <row r="56" spans="1:42" s="68" customFormat="1" ht="20.100000000000001" customHeight="1" x14ac:dyDescent="0.2">
      <c r="A56" s="120" t="s">
        <v>19</v>
      </c>
      <c r="B56" s="351">
        <f>$D$25</f>
        <v>0</v>
      </c>
      <c r="C56" s="352" t="s">
        <v>30</v>
      </c>
      <c r="D56" s="357">
        <f>$I$25</f>
        <v>0</v>
      </c>
      <c r="E56" s="352" t="s">
        <v>31</v>
      </c>
      <c r="F56" s="357">
        <f>IF((YEAR(K$46)-YEAR(X39))*12+MONTH(K$46)-MONTH(X39)&lt;0,0,(YEAR(K$46)-YEAR(X39))*12+MONTH(K$46)-MONTH(X39))</f>
        <v>71</v>
      </c>
      <c r="G56" s="352" t="s">
        <v>32</v>
      </c>
      <c r="H56" s="351">
        <f>IF(D25=0,0,IF(D56&lt;F56,B56,(B56/D56)*F56))</f>
        <v>0</v>
      </c>
      <c r="I56" s="89"/>
      <c r="J56" s="89"/>
      <c r="K56" s="90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</row>
    <row r="57" spans="1:42" s="68" customFormat="1" ht="20.100000000000001" customHeight="1" x14ac:dyDescent="0.2">
      <c r="A57" s="84"/>
      <c r="B57" s="358" t="s">
        <v>34</v>
      </c>
      <c r="C57" s="358"/>
      <c r="D57" s="358" t="s">
        <v>35</v>
      </c>
      <c r="E57" s="358"/>
      <c r="F57" s="358" t="s">
        <v>36</v>
      </c>
      <c r="G57" s="352"/>
      <c r="H57" s="358" t="s">
        <v>37</v>
      </c>
      <c r="I57" s="89"/>
      <c r="J57" s="89"/>
      <c r="K57" s="90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</row>
    <row r="58" spans="1:42" s="68" customFormat="1" ht="15.7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</row>
    <row r="59" spans="1:42" s="68" customFormat="1" ht="21.95" customHeight="1" x14ac:dyDescent="0.2">
      <c r="A59" s="59" t="s">
        <v>150</v>
      </c>
      <c r="B59" s="60"/>
      <c r="C59"/>
      <c r="D59"/>
      <c r="E59"/>
      <c r="F59"/>
      <c r="G59" s="425" t="s">
        <v>196</v>
      </c>
      <c r="H59" s="426"/>
      <c r="I59"/>
      <c r="J59"/>
      <c r="K59"/>
      <c r="L59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</row>
    <row r="60" spans="1:42" s="68" customFormat="1" ht="51.75" customHeight="1" x14ac:dyDescent="0.2">
      <c r="A60" s="312">
        <v>1</v>
      </c>
      <c r="B60" s="120" t="s">
        <v>38</v>
      </c>
      <c r="C60" s="158" t="s">
        <v>39</v>
      </c>
      <c r="D60" s="158" t="s">
        <v>178</v>
      </c>
      <c r="E60" s="158" t="s">
        <v>40</v>
      </c>
      <c r="F60" s="158" t="s">
        <v>179</v>
      </c>
      <c r="G60" s="307" t="s">
        <v>194</v>
      </c>
      <c r="H60" s="307" t="s">
        <v>195</v>
      </c>
      <c r="I60" s="323"/>
      <c r="J60" s="324"/>
      <c r="K60" s="325"/>
      <c r="L60" s="219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s="68" customFormat="1" ht="19.5" hidden="1" customHeight="1" x14ac:dyDescent="0.2">
      <c r="A61" s="287"/>
      <c r="B61"/>
      <c r="C61"/>
      <c r="D61"/>
      <c r="E61"/>
      <c r="F61"/>
      <c r="G61"/>
      <c r="H61" s="41"/>
      <c r="I61" s="289"/>
      <c r="J61" s="291" t="s">
        <v>7</v>
      </c>
      <c r="K61" s="291"/>
      <c r="L61" s="219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s="68" customFormat="1" ht="15.75" hidden="1" x14ac:dyDescent="0.2">
      <c r="A62" s="287"/>
      <c r="B62"/>
      <c r="C62"/>
      <c r="D62"/>
      <c r="E62"/>
      <c r="F62"/>
      <c r="G62"/>
      <c r="H62" s="41"/>
      <c r="I62" s="290"/>
      <c r="J62" s="292" t="s">
        <v>45</v>
      </c>
      <c r="K62" s="291" t="s">
        <v>41</v>
      </c>
      <c r="L62" s="274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s="220" customFormat="1" ht="15.75" hidden="1" x14ac:dyDescent="0.2">
      <c r="A63" s="287"/>
      <c r="B63"/>
      <c r="C63"/>
      <c r="D63"/>
      <c r="E63"/>
      <c r="F63"/>
      <c r="G63"/>
      <c r="H63" s="41"/>
      <c r="I63" s="290"/>
      <c r="J63" s="290"/>
      <c r="K63" s="292" t="s">
        <v>43</v>
      </c>
      <c r="L63" s="99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s="220" customFormat="1" ht="24.95" hidden="1" customHeight="1" x14ac:dyDescent="0.2">
      <c r="A64" s="287"/>
      <c r="B64"/>
      <c r="C64"/>
      <c r="D64"/>
      <c r="E64"/>
      <c r="F64"/>
      <c r="G64"/>
      <c r="H64" s="41"/>
      <c r="I64" s="293"/>
      <c r="J64" s="294"/>
      <c r="K64" s="292" t="s">
        <v>44</v>
      </c>
      <c r="L64" s="99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9" s="220" customFormat="1" ht="30" customHeight="1" x14ac:dyDescent="0.2">
      <c r="A65" s="62"/>
      <c r="B65" s="85" t="s">
        <v>162</v>
      </c>
      <c r="C65" s="94">
        <v>0.1</v>
      </c>
      <c r="D65" s="320" t="str">
        <f>IF(C$26&gt;0,ROUND(($E$5*C65),0),"N/A")</f>
        <v>N/A</v>
      </c>
      <c r="E65" s="320" t="str">
        <f>IF(D65="N/A","N/A",
IF(G$40+MIN(E$26,MAX(D65-G$40,0))&gt;=D65,"Yes",
IF(AND(A$60=3,G$40+MIN(E$26,MAX(D65-G$40,0))&gt;=75%*D65,
G$40+MIN(E$26,MAX(D65-G$40,0))+MIN(F$26,D65-G$40-MIN(E$26,MAX(D65-G$40,0)))&gt;=D65),"Yes","No")))</f>
        <v>N/A</v>
      </c>
      <c r="F65" s="320" t="str">
        <f>IF(E65="N/A","N/A",G$40+MIN(H$40,E$26)+MIN(I$40,F$26)-D65)</f>
        <v>N/A</v>
      </c>
      <c r="G65" s="321" t="str">
        <f>IF(E65="N/A","N/A",
IF(AND(E$26&gt;0,G$40&gt;0),MAX(D65-G$40,0),0))</f>
        <v>N/A</v>
      </c>
      <c r="H65" s="321" t="str">
        <f>IF(E65="N/A","N/A",
IF(AND(A$60=3,F$26&gt;0,G$40+H$40&gt;=75%*D$65),MAX(ROUND(D$65-G$40-H$40,0),0),0))</f>
        <v>N/A</v>
      </c>
      <c r="I65" s="293"/>
      <c r="J65" s="295"/>
      <c r="K65" s="322" t="s">
        <v>46</v>
      </c>
      <c r="L65" s="99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</row>
    <row r="66" spans="1:49" s="220" customFormat="1" ht="18" hidden="1" customHeight="1" x14ac:dyDescent="0.2">
      <c r="A66"/>
      <c r="B66"/>
      <c r="C66"/>
      <c r="D66"/>
      <c r="E66"/>
      <c r="F66"/>
      <c r="G66"/>
      <c r="H66"/>
      <c r="I66" s="276"/>
      <c r="J66" s="275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</row>
    <row r="67" spans="1:49" s="220" customFormat="1" ht="18" hidden="1" customHeight="1" x14ac:dyDescent="0.2">
      <c r="A67"/>
      <c r="B67"/>
      <c r="C67"/>
      <c r="D67"/>
      <c r="E67"/>
      <c r="F67"/>
      <c r="G67"/>
      <c r="H67"/>
      <c r="I67" s="273"/>
      <c r="J67" s="274"/>
      <c r="K67" s="274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</row>
    <row r="68" spans="1:49" s="220" customFormat="1" ht="18" hidden="1" customHeight="1" x14ac:dyDescent="0.2">
      <c r="A68"/>
      <c r="B68"/>
      <c r="C68"/>
      <c r="D68"/>
      <c r="E68"/>
      <c r="F68"/>
      <c r="G68"/>
      <c r="H68"/>
      <c r="I68" s="270"/>
      <c r="J68" s="99"/>
      <c r="K68" s="99"/>
      <c r="L68" s="99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</row>
    <row r="69" spans="1:49" s="221" customFormat="1" ht="18" hidden="1" customHeight="1" x14ac:dyDescent="0.2">
      <c r="H69" s="270"/>
      <c r="I69" s="99"/>
      <c r="J69" s="99"/>
      <c r="K69" s="99"/>
      <c r="L69" s="63"/>
      <c r="M69" s="51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</row>
    <row r="70" spans="1:49" s="68" customFormat="1" ht="18" hidden="1" customHeight="1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63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</row>
    <row r="71" spans="1:49" s="68" customFormat="1" ht="18" hidden="1" customHeight="1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63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</row>
    <row r="72" spans="1:49" s="220" customFormat="1" ht="18" customHeight="1" x14ac:dyDescent="0.2">
      <c r="C72" s="68"/>
      <c r="D72" s="68"/>
      <c r="E72" s="68"/>
      <c r="F72" s="68"/>
      <c r="G72" s="68"/>
      <c r="H72" s="68"/>
      <c r="I72" s="51"/>
      <c r="J72" s="51"/>
      <c r="K72" s="51"/>
      <c r="L72" s="51"/>
      <c r="M72" s="51"/>
      <c r="N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</row>
    <row r="73" spans="1:49" s="27" customFormat="1" ht="21.95" customHeight="1" x14ac:dyDescent="0.2">
      <c r="A73" s="66" t="s">
        <v>47</v>
      </c>
      <c r="B73" s="67"/>
      <c r="E73" s="26"/>
      <c r="F73" s="26"/>
      <c r="G73" s="26"/>
      <c r="H73" s="26"/>
      <c r="I73" s="26"/>
      <c r="J73" s="26"/>
      <c r="K73" s="26"/>
      <c r="L73" s="26"/>
      <c r="M73" s="51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49" s="27" customFormat="1" ht="30" customHeight="1" x14ac:dyDescent="0.2">
      <c r="A74" s="98"/>
      <c r="B74" s="98"/>
      <c r="C74" s="157"/>
      <c r="D74" s="420" t="s">
        <v>163</v>
      </c>
      <c r="E74" s="420"/>
      <c r="F74" s="421"/>
      <c r="G74" s="422" t="s">
        <v>164</v>
      </c>
      <c r="H74" s="423"/>
      <c r="I74" s="424"/>
      <c r="J74" s="420" t="s">
        <v>165</v>
      </c>
      <c r="K74" s="420"/>
      <c r="L74" s="421"/>
      <c r="M74"/>
      <c r="N74"/>
      <c r="O74"/>
      <c r="P74"/>
      <c r="Q74"/>
      <c r="R74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</row>
    <row r="75" spans="1:49" s="222" customFormat="1" ht="48" customHeight="1" x14ac:dyDescent="0.2">
      <c r="A75" s="105"/>
      <c r="B75" s="418" t="s">
        <v>38</v>
      </c>
      <c r="C75" s="419"/>
      <c r="D75" s="158" t="s">
        <v>156</v>
      </c>
      <c r="E75" s="158" t="s">
        <v>48</v>
      </c>
      <c r="F75" s="158" t="s">
        <v>49</v>
      </c>
      <c r="G75" s="279" t="s">
        <v>156</v>
      </c>
      <c r="H75" s="279" t="s">
        <v>48</v>
      </c>
      <c r="I75" s="279" t="s">
        <v>49</v>
      </c>
      <c r="J75" s="158" t="s">
        <v>156</v>
      </c>
      <c r="K75" s="158" t="s">
        <v>48</v>
      </c>
      <c r="L75" s="158" t="s">
        <v>49</v>
      </c>
      <c r="M75"/>
      <c r="N75"/>
      <c r="O75"/>
      <c r="P75"/>
      <c r="Q75"/>
      <c r="R75"/>
      <c r="S75" s="107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</row>
    <row r="76" spans="1:49" s="221" customFormat="1" ht="110.1" customHeight="1" x14ac:dyDescent="0.2">
      <c r="A76" s="102"/>
      <c r="B76" s="156" t="str">
        <f>B65</f>
        <v>Diverse Languages Projects</v>
      </c>
      <c r="C76" s="156" t="s">
        <v>224</v>
      </c>
      <c r="D76" s="320" t="str">
        <f>IF(AND(G$76="N/A",J$76="N/A",E$5&lt;=0),"N/A",MIN(N(G$76)+N(J$76),E5*49%))</f>
        <v>N/A</v>
      </c>
      <c r="E76" s="360" t="str">
        <f>IF(D$76="N/A","N/A",IF(C$26&gt;D$76,"No","Yes"))</f>
        <v>N/A</v>
      </c>
      <c r="F76" s="320" t="str">
        <f>IF(E$76="No",N(I$76)+N(L$76),"N/A")</f>
        <v>N/A</v>
      </c>
      <c r="G76" s="320" t="str">
        <f>IF(AND($C$26-$C$19&gt;0,E$5&gt;0),ROUND(E$5*49%,0),"N/A")</f>
        <v>N/A</v>
      </c>
      <c r="H76" s="360" t="str">
        <f>IF(G$76="N/A","N/A",IF($C$26-$C$19&gt;G$76,"No","Yes"))</f>
        <v>N/A</v>
      </c>
      <c r="I76" s="320" t="str">
        <f>IF(H$76="No",($C$26-$C$19)-G$76,"N/A")</f>
        <v>N/A</v>
      </c>
      <c r="J76" s="320" t="str">
        <f>IF(AND(C$19&gt;0,E$5&gt;0,C$10="Yes"),ROUND(E$5*(49%-MIN(N(G$76)/E$5,(C$26-C$19)/E$5)),0),"N/A")</f>
        <v>N/A</v>
      </c>
      <c r="K76" s="360" t="str">
        <f>IF(J$76="N/A","N/A",IF(C$19&gt;J$76,"No","Yes"))</f>
        <v>N/A</v>
      </c>
      <c r="L76" s="320" t="str">
        <f>IF(K$76="No",C$19-J$76,"N/A")</f>
        <v>N/A</v>
      </c>
      <c r="M76"/>
      <c r="N76"/>
      <c r="O76"/>
      <c r="P76"/>
      <c r="Q76"/>
      <c r="R76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</row>
    <row r="77" spans="1:49" x14ac:dyDescent="0.2">
      <c r="M77" s="99"/>
      <c r="N77" s="99"/>
      <c r="O77" s="99"/>
      <c r="AL77" s="217"/>
      <c r="AM77" s="217"/>
      <c r="AN77" s="217"/>
      <c r="AO77" s="217"/>
    </row>
    <row r="78" spans="1:49" x14ac:dyDescent="0.2">
      <c r="M78" s="99"/>
      <c r="N78" s="99"/>
      <c r="O78" s="99"/>
      <c r="AL78" s="217"/>
      <c r="AM78" s="217"/>
      <c r="AN78" s="217"/>
      <c r="AO78" s="217"/>
    </row>
    <row r="79" spans="1:49" x14ac:dyDescent="0.2">
      <c r="M79" s="99"/>
      <c r="N79" s="99"/>
      <c r="O79" s="99"/>
      <c r="AL79" s="217"/>
      <c r="AM79" s="217"/>
      <c r="AN79" s="217"/>
      <c r="AO79" s="217"/>
    </row>
    <row r="80" spans="1:49" x14ac:dyDescent="0.2">
      <c r="M80" s="99"/>
      <c r="N80" s="99"/>
      <c r="O80" s="99"/>
      <c r="AL80" s="217"/>
      <c r="AM80" s="217"/>
      <c r="AN80" s="217"/>
      <c r="AO80" s="217"/>
    </row>
    <row r="81" spans="1:41" x14ac:dyDescent="0.2">
      <c r="M81" s="99"/>
      <c r="N81" s="99"/>
      <c r="O81" s="99"/>
      <c r="AL81" s="217"/>
      <c r="AM81" s="217"/>
      <c r="AN81" s="217"/>
      <c r="AO81" s="217"/>
    </row>
    <row r="82" spans="1:41" x14ac:dyDescent="0.2">
      <c r="M82" s="99"/>
      <c r="N82" s="99"/>
      <c r="O82" s="99"/>
      <c r="AL82" s="217"/>
      <c r="AM82" s="217"/>
      <c r="AN82" s="217"/>
      <c r="AO82" s="217"/>
    </row>
    <row r="83" spans="1:41" x14ac:dyDescent="0.2">
      <c r="M83" s="99"/>
      <c r="N83" s="99"/>
      <c r="O83" s="99"/>
      <c r="AL83" s="217"/>
      <c r="AM83" s="217"/>
      <c r="AN83" s="217"/>
      <c r="AO83" s="217"/>
    </row>
    <row r="84" spans="1:41" x14ac:dyDescent="0.2">
      <c r="M84" s="99"/>
      <c r="N84" s="99"/>
      <c r="O84" s="99"/>
      <c r="AL84" s="217"/>
      <c r="AM84" s="217"/>
      <c r="AN84" s="217"/>
      <c r="AO84" s="217"/>
    </row>
    <row r="85" spans="1:41" x14ac:dyDescent="0.2">
      <c r="M85" s="99"/>
      <c r="N85" s="99"/>
      <c r="O85" s="99"/>
      <c r="AL85" s="217"/>
      <c r="AM85" s="217"/>
      <c r="AN85" s="217"/>
      <c r="AO85" s="217"/>
    </row>
    <row r="86" spans="1:41" x14ac:dyDescent="0.2">
      <c r="AL86" s="217"/>
      <c r="AM86" s="217"/>
      <c r="AN86" s="217"/>
      <c r="AO86" s="217"/>
    </row>
    <row r="87" spans="1:41" x14ac:dyDescent="0.2">
      <c r="AL87" s="217"/>
      <c r="AM87" s="217"/>
      <c r="AN87" s="217"/>
      <c r="AO87" s="217"/>
    </row>
    <row r="88" spans="1:41" x14ac:dyDescent="0.2">
      <c r="AL88" s="217"/>
      <c r="AM88" s="217"/>
      <c r="AN88" s="217"/>
      <c r="AO88" s="217"/>
    </row>
    <row r="89" spans="1:41" x14ac:dyDescent="0.2">
      <c r="AL89" s="217"/>
      <c r="AM89" s="217"/>
      <c r="AN89" s="217"/>
      <c r="AO89" s="217"/>
    </row>
    <row r="90" spans="1:41" x14ac:dyDescent="0.2">
      <c r="AL90" s="217"/>
      <c r="AM90" s="217"/>
      <c r="AN90" s="217"/>
      <c r="AO90" s="217"/>
    </row>
    <row r="91" spans="1:41" x14ac:dyDescent="0.2">
      <c r="AL91" s="217"/>
      <c r="AM91" s="217"/>
      <c r="AN91" s="217"/>
      <c r="AO91" s="217"/>
    </row>
    <row r="92" spans="1:41" x14ac:dyDescent="0.2">
      <c r="AL92" s="217"/>
      <c r="AM92" s="217"/>
      <c r="AN92" s="217"/>
      <c r="AO92" s="217"/>
    </row>
    <row r="93" spans="1:41" s="116" customFormat="1" x14ac:dyDescent="0.2">
      <c r="A93" s="5"/>
      <c r="B93" s="224"/>
      <c r="C93" s="6"/>
      <c r="D93" s="6"/>
      <c r="E93" s="5"/>
      <c r="F93" s="5"/>
      <c r="G93" s="5"/>
      <c r="H93" s="5"/>
      <c r="I93" s="5"/>
      <c r="J93" s="5"/>
      <c r="K93" s="5"/>
      <c r="L93" s="5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215"/>
      <c r="AM93" s="215"/>
      <c r="AN93" s="215"/>
      <c r="AO93" s="215"/>
    </row>
    <row r="94" spans="1:41" s="116" customFormat="1" x14ac:dyDescent="0.2">
      <c r="A94" s="5"/>
      <c r="B94" s="415"/>
      <c r="C94" s="415"/>
      <c r="D94" s="415"/>
      <c r="E94" s="5"/>
      <c r="F94" s="5"/>
      <c r="G94" s="5"/>
      <c r="H94" s="5"/>
      <c r="I94" s="5"/>
      <c r="J94" s="5"/>
      <c r="K94" s="5"/>
      <c r="L94" s="5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215"/>
      <c r="AM94" s="215"/>
      <c r="AN94" s="215"/>
      <c r="AO94" s="215"/>
    </row>
    <row r="95" spans="1:41" s="116" customFormat="1" x14ac:dyDescent="0.2">
      <c r="A95" s="5"/>
      <c r="B95" s="416"/>
      <c r="C95" s="416"/>
      <c r="D95" s="416"/>
      <c r="E95" s="5"/>
      <c r="F95" s="5"/>
      <c r="G95" s="5"/>
      <c r="H95" s="5"/>
      <c r="I95" s="5"/>
      <c r="J95" s="5"/>
      <c r="K95" s="5"/>
      <c r="L95" s="5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215"/>
      <c r="AM95" s="215"/>
      <c r="AN95" s="215"/>
      <c r="AO95" s="215"/>
    </row>
  </sheetData>
  <sheetProtection algorithmName="SHA-512" hashValue="jsDhuIahynFozCyD+9kbYbQEvotYRliD1tMcAa6EC7J6BVyX7Rb9y9956b/mV1P9IGkVoEVYKbL8IouRJXe0WA==" saltValue="cN0FByg0jShTwy+4d2Balg==" spinCount="100000" sheet="1" objects="1" scenarios="1"/>
  <sortState xmlns:xlrd2="http://schemas.microsoft.com/office/spreadsheetml/2017/richdata2" ref="C33:D40">
    <sortCondition sortBy="icon" ref="C33"/>
  </sortState>
  <dataConsolidate/>
  <mergeCells count="24">
    <mergeCell ref="H31:I31"/>
    <mergeCell ref="A41:E41"/>
    <mergeCell ref="D1:K1"/>
    <mergeCell ref="J2:K2"/>
    <mergeCell ref="B2:D2"/>
    <mergeCell ref="H2:I2"/>
    <mergeCell ref="F2:G2"/>
    <mergeCell ref="A10:B10"/>
    <mergeCell ref="I9:J9"/>
    <mergeCell ref="C5:D5"/>
    <mergeCell ref="A28:A29"/>
    <mergeCell ref="B28:K29"/>
    <mergeCell ref="A26:B26"/>
    <mergeCell ref="A11:B11"/>
    <mergeCell ref="A18:B18"/>
    <mergeCell ref="A32:B32"/>
    <mergeCell ref="B94:D94"/>
    <mergeCell ref="B95:D95"/>
    <mergeCell ref="I46:J46"/>
    <mergeCell ref="B75:C75"/>
    <mergeCell ref="D74:F74"/>
    <mergeCell ref="G74:I74"/>
    <mergeCell ref="J74:L74"/>
    <mergeCell ref="G59:H59"/>
  </mergeCells>
  <phoneticPr fontId="0" type="noConversion"/>
  <conditionalFormatting sqref="E76">
    <cfRule type="containsText" dxfId="22" priority="18" operator="containsText" text="No">
      <formula>NOT(ISERROR(SEARCH("No",E76)))</formula>
    </cfRule>
  </conditionalFormatting>
  <conditionalFormatting sqref="E65:F65">
    <cfRule type="containsText" dxfId="21" priority="60" operator="containsText" text="No">
      <formula>NOT(ISERROR(SEARCH("No",E65)))</formula>
    </cfRule>
  </conditionalFormatting>
  <conditionalFormatting sqref="G59">
    <cfRule type="containsText" dxfId="20" priority="2" operator="containsText" text="(4) The indicated Market Contribution exceeds the Maximal Market Contribution.">
      <formula>NOT(ISERROR(SEARCH("(4) The indicated Market Contribution exceeds the Maximal Market Contribution.",G59)))</formula>
    </cfRule>
  </conditionalFormatting>
  <conditionalFormatting sqref="H76">
    <cfRule type="containsText" dxfId="19" priority="19" operator="containsText" text="No">
      <formula>NOT(ISERROR(SEARCH("No",H76)))</formula>
    </cfRule>
  </conditionalFormatting>
  <conditionalFormatting sqref="H42:I42">
    <cfRule type="expression" dxfId="18" priority="1">
      <formula>$I$40&lt;&gt;""</formula>
    </cfRule>
  </conditionalFormatting>
  <conditionalFormatting sqref="K76">
    <cfRule type="containsText" dxfId="17" priority="17" operator="containsText" text="No">
      <formula>NOT(ISERROR(SEARCH("No",K76)))</formula>
    </cfRule>
  </conditionalFormatting>
  <dataValidations xWindow="1414" yWindow="775" count="13">
    <dataValidation type="date" allowBlank="1" showInputMessage="1" showErrorMessage="1" promptTitle="Date" prompt="ex. Y-M-D" sqref="G20:G25" xr:uid="{00000000-0002-0000-0000-000000000000}">
      <formula1>36526</formula1>
      <formula2>401749</formula2>
    </dataValidation>
    <dataValidation type="decimal" allowBlank="1" showErrorMessage="1" errorTitle="Not a number" error="Enter the Envelope Contribution for this licence" sqref="C25 C22:C23" xr:uid="{00000000-0002-0000-0000-000001000000}">
      <formula1>0</formula1>
      <formula2>999999999999999</formula2>
    </dataValidation>
    <dataValidation type="whole" allowBlank="1" showInputMessage="1" showErrorMessage="1" promptTitle="# of months" prompt="Enter the licence term in months. Equations are allowable (i.e. =6*12)" sqref="I20:I25" xr:uid="{00000000-0002-0000-0000-000002000000}">
      <formula1>1</formula1>
      <formula2>999</formula2>
    </dataValidation>
    <dataValidation allowBlank="1" showInputMessage="1" showErrorMessage="1" promptTitle="# of Months" prompt="Enter adjusted exclusivity in &quot;number of months&quot;." sqref="W34:W39" xr:uid="{00000000-0002-0000-0000-000004000000}"/>
    <dataValidation type="whole" allowBlank="1" showInputMessage="1" showErrorMessage="1" sqref="J20:J25" xr:uid="{00000000-0002-0000-0000-000005000000}">
      <formula1>0</formula1>
      <formula2>999</formula2>
    </dataValidation>
    <dataValidation type="decimal" allowBlank="1" showInputMessage="1" showErrorMessage="1" errorTitle="Not a number" error="Enter the Envelope Contribution for this licence" sqref="C20:C21 F21" xr:uid="{494A3621-210E-40AC-9060-429C643BE91D}">
      <formula1>0</formula1>
      <formula2>999999999999999</formula2>
    </dataValidation>
    <dataValidation type="whole" allowBlank="1" showInputMessage="1" showErrorMessage="1" errorTitle="Not a number" error="Enter the Envelope Contribution for this licence" sqref="E34:E40" xr:uid="{00000000-0002-0000-0000-000003000000}">
      <formula1>0</formula1>
      <formula2>999999999999999</formula2>
    </dataValidation>
    <dataValidation type="date" allowBlank="1" showInputMessage="1" showErrorMessage="1" promptTitle="Date" prompt="ex. Y-M-D ou D-M-Y" sqref="G20" xr:uid="{3E0F122E-F107-4FCA-B12C-FBCFD5DF0265}">
      <formula1>36526</formula1>
      <formula2>401749</formula2>
    </dataValidation>
    <dataValidation type="date" allowBlank="1" showInputMessage="1" showErrorMessage="1" promptTitle="Date" prompt="Enter in date format, i.e. Y-M-D or D-M-Y." sqref="G21:G22" xr:uid="{839628A1-2D9A-4A7B-B6B4-67A0DAA1A35F}">
      <formula1>36526</formula1>
      <formula2>401749</formula2>
    </dataValidation>
    <dataValidation type="list" allowBlank="1" showInputMessage="1" showErrorMessage="1" sqref="C10" xr:uid="{89CD4495-4193-4909-B324-60F58871B3D4}">
      <formula1>$J$60:$J$62</formula1>
    </dataValidation>
    <dataValidation allowBlank="1" showInputMessage="1" showErrorMessage="1" prompt="Please enter first the broadcasters, see note (1) here-above" sqref="E20:F20" xr:uid="{CFE8AECC-D3DE-40FD-8F0A-4417A75136DF}"/>
    <dataValidation type="custom" showInputMessage="1" showErrorMessage="1" error="Please do not delete" sqref="A60" xr:uid="{970D8BDE-A8B1-4D4A-8CC9-9B26DA0454CC}">
      <formula1>""</formula1>
    </dataValidation>
    <dataValidation allowBlank="1" showInputMessage="1" showErrorMessage="1" promptTitle="Intl. Entity MMC" prompt="For C&amp;Y the ELF and MMC must be at least 75% of Threshold. Also see note (3)." sqref="I42" xr:uid="{B98B19D5-157D-41B7-AF20-71514CE76AC2}"/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0" max="14" man="1"/>
    <brk id="72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3" r:id="rId4" name="Drop Down 99">
              <controlPr locked="0" defaultSize="0" autoLine="0" autoPict="0">
                <anchor moveWithCells="1">
                  <from>
                    <xdr:col>2</xdr:col>
                    <xdr:colOff>114300</xdr:colOff>
                    <xdr:row>6</xdr:row>
                    <xdr:rowOff>19050</xdr:rowOff>
                  </from>
                  <to>
                    <xdr:col>3</xdr:col>
                    <xdr:colOff>695325</xdr:colOff>
                    <xdr:row>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C5B6-0061-4B4E-8807-37ED1BE1E32B}">
  <sheetPr>
    <tabColor rgb="FFFF0000"/>
  </sheetPr>
  <dimension ref="A1:AW95"/>
  <sheetViews>
    <sheetView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11.44140625" style="5" customWidth="1"/>
    <col min="2" max="2" width="26.44140625" style="7" customWidth="1"/>
    <col min="3" max="3" width="14.77734375" style="5" customWidth="1"/>
    <col min="4" max="12" width="13.77734375" style="5" customWidth="1"/>
    <col min="13" max="13" width="12.77734375" style="5" customWidth="1"/>
    <col min="14" max="15" width="10.77734375" style="5" customWidth="1"/>
    <col min="16" max="16" width="8.88671875" style="5" customWidth="1"/>
    <col min="17" max="17" width="8.88671875" style="5"/>
    <col min="18" max="18" width="9.6640625" style="5" bestFit="1" customWidth="1"/>
    <col min="19" max="20" width="8.88671875" style="5"/>
    <col min="21" max="21" width="8.88671875" style="5" customWidth="1"/>
    <col min="22" max="24" width="8.88671875" style="5" hidden="1" customWidth="1"/>
    <col min="25" max="41" width="8.88671875" style="5"/>
    <col min="42" max="16384" width="8.88671875" style="213"/>
  </cols>
  <sheetData>
    <row r="1" spans="1:47" ht="70.150000000000006" customHeight="1" thickBot="1" x14ac:dyDescent="0.25">
      <c r="A1" s="6"/>
      <c r="B1" s="211"/>
      <c r="C1" s="474" t="s">
        <v>226</v>
      </c>
      <c r="D1" s="474"/>
      <c r="E1" s="474"/>
      <c r="F1" s="474"/>
      <c r="G1" s="474"/>
      <c r="H1" s="474"/>
      <c r="I1" s="474"/>
      <c r="J1" s="474"/>
      <c r="K1" s="474"/>
      <c r="AP1" s="217"/>
      <c r="AQ1" s="217"/>
      <c r="AR1" s="217"/>
      <c r="AS1" s="217"/>
      <c r="AT1" s="217"/>
      <c r="AU1" s="217"/>
    </row>
    <row r="2" spans="1:47" s="214" customFormat="1" ht="33" customHeight="1" thickBot="1" x14ac:dyDescent="0.25">
      <c r="A2" s="271" t="s">
        <v>51</v>
      </c>
      <c r="B2" s="434"/>
      <c r="C2" s="478"/>
      <c r="D2" s="479"/>
      <c r="E2" s="163" t="s">
        <v>52</v>
      </c>
      <c r="F2" s="434"/>
      <c r="G2" s="480"/>
      <c r="H2" s="481" t="s">
        <v>2</v>
      </c>
      <c r="I2" s="481"/>
      <c r="J2" s="482"/>
      <c r="K2" s="48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246"/>
      <c r="AO2" s="246"/>
      <c r="AP2" s="246"/>
      <c r="AQ2" s="246"/>
      <c r="AR2" s="246"/>
      <c r="AS2" s="246"/>
      <c r="AT2" s="246"/>
      <c r="AU2" s="246"/>
    </row>
    <row r="3" spans="1:47" s="214" customFormat="1" ht="21" x14ac:dyDescent="0.2">
      <c r="A3" s="236" t="s">
        <v>53</v>
      </c>
      <c r="B3" s="124"/>
      <c r="C3" s="125"/>
      <c r="D3" s="10"/>
      <c r="E3" s="247"/>
      <c r="F3" s="11"/>
      <c r="G3" s="12"/>
      <c r="H3" s="247"/>
      <c r="I3" s="11"/>
      <c r="J3" s="13"/>
      <c r="K3" s="1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46"/>
      <c r="AP3" s="246"/>
      <c r="AQ3" s="246"/>
      <c r="AR3" s="246"/>
      <c r="AS3" s="246"/>
      <c r="AT3" s="246"/>
      <c r="AU3" s="246"/>
    </row>
    <row r="4" spans="1:47" ht="18" customHeight="1" x14ac:dyDescent="0.2">
      <c r="A4" s="13"/>
      <c r="B4" s="31"/>
      <c r="C4" s="32"/>
      <c r="D4" s="14"/>
      <c r="E4" s="14"/>
      <c r="F4" s="14"/>
      <c r="G4" s="15"/>
      <c r="H4" s="16"/>
      <c r="I4" s="217"/>
      <c r="K4" s="217"/>
      <c r="AP4" s="217"/>
      <c r="AQ4" s="217"/>
      <c r="AR4" s="217"/>
      <c r="AS4" s="217"/>
      <c r="AT4" s="217"/>
      <c r="AU4" s="217"/>
    </row>
    <row r="5" spans="1:47" s="216" customFormat="1" ht="33" customHeight="1" x14ac:dyDescent="0.2">
      <c r="A5" s="17"/>
      <c r="B5" s="23"/>
      <c r="C5" s="440" t="s">
        <v>54</v>
      </c>
      <c r="D5" s="475"/>
      <c r="E5" s="210"/>
      <c r="F5" s="244" t="s">
        <v>55</v>
      </c>
      <c r="G5" s="130"/>
      <c r="H5" s="244" t="s">
        <v>104</v>
      </c>
      <c r="I5" s="130"/>
      <c r="J5" s="245" t="s">
        <v>56</v>
      </c>
      <c r="K5" s="131">
        <f>(G5*I5)/60</f>
        <v>0</v>
      </c>
      <c r="L5" s="215"/>
      <c r="M5" s="5"/>
      <c r="N5" s="5"/>
      <c r="O5" s="5"/>
      <c r="P5" s="5"/>
      <c r="Q5" s="18"/>
      <c r="R5" s="18"/>
      <c r="S5" s="18"/>
      <c r="T5" s="18"/>
      <c r="U5" s="18"/>
      <c r="V5" s="18"/>
      <c r="W5" s="19"/>
      <c r="X5" s="19"/>
      <c r="Y5" s="18"/>
      <c r="Z5" s="21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7" ht="18" customHeight="1" x14ac:dyDescent="0.2">
      <c r="A6" s="13"/>
      <c r="B6" s="31"/>
      <c r="C6" s="32"/>
      <c r="D6" s="14"/>
      <c r="E6" s="14"/>
      <c r="F6" s="14"/>
      <c r="G6" s="15"/>
      <c r="H6" s="31"/>
      <c r="I6" s="15"/>
      <c r="J6" s="15"/>
      <c r="K6" s="132"/>
      <c r="L6" s="15"/>
      <c r="AP6" s="217"/>
      <c r="AQ6" s="217"/>
      <c r="AR6" s="217"/>
      <c r="AS6" s="217"/>
      <c r="AT6" s="217"/>
      <c r="AU6" s="217"/>
    </row>
    <row r="7" spans="1:47" s="216" customFormat="1" ht="30" customHeight="1" x14ac:dyDescent="0.2">
      <c r="B7" s="277" t="s">
        <v>8</v>
      </c>
      <c r="C7" s="32"/>
      <c r="D7" s="14"/>
      <c r="E7" s="14"/>
      <c r="F7" s="14"/>
      <c r="G7" s="14"/>
      <c r="J7" s="235" t="s">
        <v>58</v>
      </c>
      <c r="K7" s="238">
        <f>IF($K$5=0,0,$E$5/$K$5)</f>
        <v>0</v>
      </c>
      <c r="L7" s="31"/>
      <c r="M7" s="31"/>
      <c r="N7" s="31"/>
      <c r="O7" s="215"/>
      <c r="P7" s="5"/>
      <c r="Q7" s="5"/>
      <c r="R7" s="5"/>
      <c r="S7" s="5"/>
      <c r="T7" s="18"/>
      <c r="U7" s="18"/>
      <c r="V7" s="18"/>
      <c r="W7" s="18"/>
      <c r="X7" s="18"/>
      <c r="Y7" s="18"/>
      <c r="Z7" s="19"/>
      <c r="AA7" s="19"/>
      <c r="AB7" s="18"/>
      <c r="AC7" s="21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47" s="216" customFormat="1" ht="18" customHeight="1" x14ac:dyDescent="0.2">
      <c r="A8" s="17"/>
      <c r="B8" s="17"/>
      <c r="E8" s="17"/>
      <c r="F8" s="17"/>
      <c r="G8" s="17"/>
      <c r="H8" s="17"/>
      <c r="M8" s="31"/>
      <c r="N8" s="31"/>
      <c r="O8" s="215"/>
      <c r="P8" s="5"/>
      <c r="Q8" s="5"/>
      <c r="R8" s="5"/>
      <c r="S8" s="5"/>
      <c r="T8" s="18"/>
      <c r="U8" s="18"/>
      <c r="V8" s="18"/>
      <c r="W8" s="18"/>
      <c r="X8" s="18"/>
      <c r="Y8" s="18"/>
      <c r="Z8" s="19"/>
      <c r="AA8" s="19"/>
      <c r="AB8" s="18"/>
      <c r="AC8" s="21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7" customFormat="1" ht="30" customHeight="1" x14ac:dyDescent="0.2">
      <c r="I9" s="476" t="s">
        <v>60</v>
      </c>
      <c r="J9" s="477"/>
      <c r="K9" s="333" t="str">
        <f>IF(A$60=1,"",IF(AND(A$60=2,K7&gt;= 400000),"Oui",IF(AND(OR(A$60=3,A$60=5),K7&gt;= 750000),"Oui",IF(AND(A$60=4,K7&gt;= 800000),"Oui","Non"))))</f>
        <v/>
      </c>
      <c r="L9" s="237" t="str">
        <f>IF(K9="Oui","Pour les projets admissibles tournés en prises de vues réelles","")</f>
        <v/>
      </c>
    </row>
    <row r="10" spans="1:47" s="217" customFormat="1" ht="33" customHeight="1" x14ac:dyDescent="0.2">
      <c r="A10" s="440" t="s">
        <v>174</v>
      </c>
      <c r="B10" s="441"/>
      <c r="C10" s="296"/>
      <c r="D10" s="237" t="str">
        <f>IF(AND(C11&gt;0,C10=""),"Réponse requise","")</f>
        <v/>
      </c>
      <c r="F10" s="5"/>
      <c r="H10" s="5"/>
      <c r="I10" s="5"/>
      <c r="J10" s="280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47" customFormat="1" ht="33" customHeight="1" x14ac:dyDescent="0.2">
      <c r="A11" s="440" t="s">
        <v>173</v>
      </c>
      <c r="B11" s="441" t="s">
        <v>170</v>
      </c>
      <c r="C11" s="286"/>
    </row>
    <row r="12" spans="1:47" customFormat="1" ht="18" hidden="1" customHeight="1" x14ac:dyDescent="0.2"/>
    <row r="13" spans="1:47" customFormat="1" ht="18" hidden="1" customHeight="1" x14ac:dyDescent="0.2"/>
    <row r="14" spans="1:47" customFormat="1" ht="18" customHeight="1" x14ac:dyDescent="0.2"/>
    <row r="15" spans="1:47" ht="18" customHeight="1" x14ac:dyDescent="0.2">
      <c r="A15" s="406" t="s">
        <v>222</v>
      </c>
      <c r="B15" s="5"/>
      <c r="G15" s="217"/>
      <c r="K15" s="26"/>
      <c r="AJ15" s="217"/>
      <c r="AK15" s="217"/>
      <c r="AL15" s="217"/>
      <c r="AM15" s="217"/>
      <c r="AN15" s="217"/>
      <c r="AO15" s="217"/>
    </row>
    <row r="16" spans="1:47" ht="18" customHeight="1" x14ac:dyDescent="0.2">
      <c r="A16" s="314" t="s">
        <v>200</v>
      </c>
      <c r="B16" s="5"/>
      <c r="K16" s="26"/>
      <c r="AJ16" s="217"/>
      <c r="AK16" s="217"/>
      <c r="AL16" s="217"/>
      <c r="AM16" s="217"/>
      <c r="AN16" s="217"/>
      <c r="AO16" s="217"/>
    </row>
    <row r="17" spans="1:42" ht="18" customHeight="1" x14ac:dyDescent="0.2">
      <c r="A17" s="254" t="s">
        <v>201</v>
      </c>
      <c r="B17" s="266"/>
      <c r="C17" s="266"/>
      <c r="D17" s="266"/>
      <c r="E17" s="266"/>
      <c r="G17" s="242"/>
      <c r="H17" s="251"/>
      <c r="I17" s="315" t="s">
        <v>202</v>
      </c>
      <c r="J17" s="227"/>
      <c r="K17" s="228"/>
      <c r="AJ17" s="217"/>
      <c r="AK17" s="217"/>
      <c r="AL17" s="217"/>
      <c r="AM17" s="217"/>
      <c r="AN17" s="217"/>
      <c r="AO17" s="217"/>
    </row>
    <row r="18" spans="1:42" s="218" customFormat="1" ht="60" customHeight="1" x14ac:dyDescent="0.2">
      <c r="A18" s="470" t="s">
        <v>206</v>
      </c>
      <c r="B18" s="471"/>
      <c r="C18" s="199" t="s">
        <v>176</v>
      </c>
      <c r="D18" s="234" t="s">
        <v>223</v>
      </c>
      <c r="E18" s="234" t="s">
        <v>203</v>
      </c>
      <c r="F18" s="177" t="s">
        <v>204</v>
      </c>
      <c r="G18" s="101" t="s">
        <v>147</v>
      </c>
      <c r="H18" s="104" t="s">
        <v>63</v>
      </c>
      <c r="I18" s="166" t="s">
        <v>64</v>
      </c>
      <c r="J18" s="319" t="s">
        <v>205</v>
      </c>
      <c r="K18" s="166" t="s">
        <v>65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</row>
    <row r="19" spans="1:42" s="68" customFormat="1" ht="33" customHeight="1" x14ac:dyDescent="0.2">
      <c r="A19" s="278"/>
      <c r="B19" s="281" t="s">
        <v>175</v>
      </c>
      <c r="C19" s="297">
        <f>IF(C10="oui",C11,0)</f>
        <v>0</v>
      </c>
      <c r="D19" s="282"/>
      <c r="E19" s="283"/>
      <c r="G19" s="283"/>
      <c r="H19" s="283"/>
      <c r="I19" s="283"/>
      <c r="J19" s="283"/>
      <c r="K19" s="284"/>
      <c r="L19" s="220"/>
      <c r="M19" s="51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</row>
    <row r="20" spans="1:42" s="68" customFormat="1" ht="24.95" customHeight="1" x14ac:dyDescent="0.2">
      <c r="A20" s="109" t="s">
        <v>66</v>
      </c>
      <c r="B20" s="134"/>
      <c r="C20" s="391"/>
      <c r="D20" s="391"/>
      <c r="E20" s="317"/>
      <c r="F20" s="317"/>
      <c r="G20" s="336"/>
      <c r="H20" s="367">
        <f t="shared" ref="H20:H25" si="0">DATE(YEAR(G20),(MONTH(G20)+I20),DAY(G20))</f>
        <v>0</v>
      </c>
      <c r="I20" s="136"/>
      <c r="J20" s="136"/>
      <c r="K20" s="337" t="s">
        <v>169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</row>
    <row r="21" spans="1:42" s="68" customFormat="1" ht="24.95" customHeight="1" x14ac:dyDescent="0.2">
      <c r="A21" s="170" t="s">
        <v>67</v>
      </c>
      <c r="B21" s="134"/>
      <c r="C21" s="391"/>
      <c r="D21" s="391"/>
      <c r="E21" s="393"/>
      <c r="F21" s="318"/>
      <c r="G21" s="336"/>
      <c r="H21" s="367">
        <f t="shared" si="0"/>
        <v>0</v>
      </c>
      <c r="I21" s="136"/>
      <c r="J21" s="136"/>
      <c r="K21" s="337"/>
      <c r="L21" s="51"/>
      <c r="M21" s="51"/>
      <c r="N21" s="51"/>
      <c r="O21" s="268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</row>
    <row r="22" spans="1:42" s="68" customFormat="1" ht="24.95" customHeight="1" x14ac:dyDescent="0.2">
      <c r="A22" s="120" t="s">
        <v>68</v>
      </c>
      <c r="B22" s="134"/>
      <c r="C22" s="391"/>
      <c r="D22" s="391"/>
      <c r="E22" s="393"/>
      <c r="F22" s="318"/>
      <c r="G22" s="336"/>
      <c r="H22" s="367">
        <f>DATE(YEAR(G22),(MONTH(G22)+I22),DAY(G22))</f>
        <v>0</v>
      </c>
      <c r="I22" s="136"/>
      <c r="J22" s="136"/>
      <c r="K22" s="337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</row>
    <row r="23" spans="1:42" s="68" customFormat="1" ht="24.95" customHeight="1" x14ac:dyDescent="0.2">
      <c r="A23" s="120" t="s">
        <v>69</v>
      </c>
      <c r="B23" s="134"/>
      <c r="C23" s="391"/>
      <c r="D23" s="391"/>
      <c r="E23" s="393"/>
      <c r="F23" s="318"/>
      <c r="G23" s="336"/>
      <c r="H23" s="367">
        <f>DATE(YEAR(G23),(MONTH(G23)+I23),DAY(G23))</f>
        <v>0</v>
      </c>
      <c r="I23" s="136"/>
      <c r="J23" s="136"/>
      <c r="K23" s="337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</row>
    <row r="24" spans="1:42" s="68" customFormat="1" ht="24.95" customHeight="1" x14ac:dyDescent="0.2">
      <c r="A24" s="120" t="s">
        <v>70</v>
      </c>
      <c r="B24" s="134"/>
      <c r="C24" s="391"/>
      <c r="D24" s="391"/>
      <c r="E24" s="393"/>
      <c r="F24" s="318"/>
      <c r="G24" s="336"/>
      <c r="H24" s="367">
        <f t="shared" si="0"/>
        <v>0</v>
      </c>
      <c r="I24" s="136"/>
      <c r="J24" s="136"/>
      <c r="K24" s="337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</row>
    <row r="25" spans="1:42" s="68" customFormat="1" ht="24.95" customHeight="1" thickBot="1" x14ac:dyDescent="0.25">
      <c r="A25" s="109" t="s">
        <v>71</v>
      </c>
      <c r="B25" s="138"/>
      <c r="C25" s="392"/>
      <c r="D25" s="392"/>
      <c r="E25" s="394"/>
      <c r="F25" s="318"/>
      <c r="G25" s="336"/>
      <c r="H25" s="367">
        <f t="shared" si="0"/>
        <v>0</v>
      </c>
      <c r="I25" s="136"/>
      <c r="J25" s="136"/>
      <c r="K25" s="337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</row>
    <row r="26" spans="1:42" s="68" customFormat="1" ht="20.25" customHeight="1" thickBot="1" x14ac:dyDescent="0.25">
      <c r="A26" s="453" t="s">
        <v>72</v>
      </c>
      <c r="B26" s="453"/>
      <c r="C26" s="239">
        <f>SUM(C19:C25)</f>
        <v>0</v>
      </c>
      <c r="D26" s="239">
        <f>SUM(D20:D25)</f>
        <v>0</v>
      </c>
      <c r="E26" s="239">
        <f>SUM(E20:E25)</f>
        <v>0</v>
      </c>
      <c r="F26" s="239">
        <f>SUM(F20:F25)</f>
        <v>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</row>
    <row r="27" spans="1:42" s="68" customFormat="1" ht="18" customHeight="1" x14ac:dyDescent="0.2">
      <c r="A27" s="43"/>
      <c r="B27" s="44"/>
      <c r="C27" s="45"/>
      <c r="D27" s="45"/>
      <c r="E27" s="45"/>
      <c r="F27" s="45"/>
      <c r="G27" s="46"/>
      <c r="H27" s="46"/>
      <c r="I27" s="47"/>
      <c r="J27" s="48"/>
      <c r="K27" s="48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2" s="68" customFormat="1" ht="25.5" customHeight="1" x14ac:dyDescent="0.2">
      <c r="A28" s="460" t="s">
        <v>158</v>
      </c>
      <c r="B28" s="462"/>
      <c r="C28" s="463"/>
      <c r="D28" s="463"/>
      <c r="E28" s="463"/>
      <c r="F28" s="463"/>
      <c r="G28" s="463"/>
      <c r="H28" s="463"/>
      <c r="I28" s="463"/>
      <c r="J28" s="463"/>
      <c r="K28" s="464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</row>
    <row r="29" spans="1:42" s="68" customFormat="1" ht="25.5" customHeight="1" x14ac:dyDescent="0.2">
      <c r="A29" s="461"/>
      <c r="B29" s="465"/>
      <c r="C29" s="466"/>
      <c r="D29" s="466"/>
      <c r="E29" s="466"/>
      <c r="F29" s="466"/>
      <c r="G29" s="466"/>
      <c r="H29" s="466"/>
      <c r="I29" s="466"/>
      <c r="J29" s="466"/>
      <c r="K29" s="467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</row>
    <row r="30" spans="1:42" s="68" customFormat="1" ht="18" customHeight="1" x14ac:dyDescent="0.2">
      <c r="A30" s="243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1:42" s="68" customFormat="1" ht="21.95" customHeight="1" x14ac:dyDescent="0.2">
      <c r="A31" s="257" t="s">
        <v>216</v>
      </c>
      <c r="B31" s="53"/>
      <c r="C31" s="54"/>
      <c r="D31" s="55"/>
      <c r="E31" s="55"/>
      <c r="F31" s="55"/>
      <c r="G31" s="56"/>
      <c r="H31" s="468" t="s">
        <v>193</v>
      </c>
      <c r="I31" s="469"/>
      <c r="J31" s="397"/>
      <c r="K31" s="398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2" s="218" customFormat="1" ht="54.95" customHeight="1" x14ac:dyDescent="0.2">
      <c r="A32" s="470" t="s">
        <v>213</v>
      </c>
      <c r="B32" s="471"/>
      <c r="C32" s="233" t="s">
        <v>74</v>
      </c>
      <c r="D32" s="233" t="s">
        <v>153</v>
      </c>
      <c r="E32" s="230" t="s">
        <v>75</v>
      </c>
      <c r="F32" s="230" t="s">
        <v>76</v>
      </c>
      <c r="G32" s="316" t="s">
        <v>208</v>
      </c>
      <c r="H32" s="241" t="s">
        <v>209</v>
      </c>
      <c r="I32" s="177" t="s">
        <v>210</v>
      </c>
      <c r="J32" s="399" t="s">
        <v>211</v>
      </c>
      <c r="K32" s="241" t="s">
        <v>78</v>
      </c>
      <c r="L32" s="400" t="s">
        <v>212</v>
      </c>
      <c r="M32" s="105"/>
      <c r="N32" s="105"/>
      <c r="O32" s="105"/>
      <c r="P32" s="105"/>
      <c r="Q32" s="105"/>
      <c r="R32" s="105"/>
      <c r="S32" s="105"/>
      <c r="T32" s="105"/>
      <c r="U32" s="105"/>
      <c r="V32" s="109" t="s">
        <v>119</v>
      </c>
      <c r="W32" s="109" t="s">
        <v>120</v>
      </c>
      <c r="X32" s="109" t="s">
        <v>121</v>
      </c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</row>
    <row r="33" spans="1:42" s="68" customFormat="1" ht="33" customHeight="1" x14ac:dyDescent="0.2">
      <c r="A33" s="83"/>
      <c r="B33" s="285" t="s">
        <v>175</v>
      </c>
      <c r="C33" s="378">
        <f>IF(E40-(E5*20%)&lt;100000,E33,IF((E5*20%)&lt;MIN(C11,N(J76)),ROUND(E5*20%,0),MIN(C11,N(J76))))</f>
        <v>0</v>
      </c>
      <c r="D33" s="378">
        <f>E33-C33</f>
        <v>0</v>
      </c>
      <c r="E33" s="378">
        <f>MIN(C11,N(J76))</f>
        <v>0</v>
      </c>
      <c r="F33" s="305" t="str">
        <f t="shared" ref="F33:F39" si="1">IF($E$5=0,"",(C33+D33)/$E$5)</f>
        <v/>
      </c>
      <c r="G33" s="378"/>
      <c r="H33" s="340"/>
      <c r="I33" s="341"/>
      <c r="J33" s="342"/>
      <c r="K33" s="343"/>
      <c r="L33" s="344"/>
      <c r="M33" s="51"/>
      <c r="N33" s="51"/>
      <c r="O33" s="51"/>
      <c r="P33" s="51"/>
      <c r="Q33" s="51"/>
      <c r="R33" s="51"/>
      <c r="S33" s="51"/>
      <c r="T33" s="51"/>
      <c r="U33" s="51"/>
      <c r="V33" s="79"/>
      <c r="W33" s="79"/>
      <c r="X33" s="79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s="68" customFormat="1" ht="15.75" x14ac:dyDescent="0.2">
      <c r="A34" s="170" t="s">
        <v>66</v>
      </c>
      <c r="B34" s="76">
        <f>$B$20</f>
        <v>0</v>
      </c>
      <c r="C34" s="378">
        <f>IF(($C$40-$C$33)&gt;0,ROUND((E34/($E$40-$E$33)*($C$40-$C$33)),0),0)</f>
        <v>0</v>
      </c>
      <c r="D34" s="378">
        <f t="shared" ref="D34:D39" si="2">E34-C34</f>
        <v>0</v>
      </c>
      <c r="E34" s="378">
        <f>IF($C$26&gt;0,ROUND((C20/($C$26-$C$19)*($E$40-$E$33)),0),0)</f>
        <v>0</v>
      </c>
      <c r="F34" s="305" t="str">
        <f t="shared" si="1"/>
        <v/>
      </c>
      <c r="G34" s="378">
        <f>$H$46</f>
        <v>0</v>
      </c>
      <c r="H34" s="378" t="s">
        <v>28</v>
      </c>
      <c r="I34" s="378" t="s">
        <v>28</v>
      </c>
      <c r="J34" s="310" t="str">
        <f>IF(E$5=0,"",(G34+N(H34)+N(I34))/E$5)</f>
        <v/>
      </c>
      <c r="K34" s="347"/>
      <c r="L34" s="378">
        <f>MAX(D20+E20+F20-G34-N(H34)-N(I34),0)</f>
        <v>0</v>
      </c>
      <c r="M34" s="268"/>
      <c r="N34" s="51"/>
      <c r="O34" s="51"/>
      <c r="P34" s="51"/>
      <c r="Q34" s="51"/>
      <c r="R34" s="51"/>
      <c r="S34" s="51"/>
      <c r="T34" s="51"/>
      <c r="U34" s="51"/>
      <c r="V34" s="79">
        <f>IF(I20&lt;72,I20,72)</f>
        <v>0</v>
      </c>
      <c r="W34" s="79">
        <f t="shared" ref="W34:W39" si="3">J20</f>
        <v>0</v>
      </c>
      <c r="X34" s="79" t="s">
        <v>122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s="68" customFormat="1" ht="15.75" x14ac:dyDescent="0.2">
      <c r="A35" s="120" t="s">
        <v>67</v>
      </c>
      <c r="B35" s="76">
        <f>$B$21</f>
        <v>0</v>
      </c>
      <c r="C35" s="378">
        <f t="shared" ref="C35:C39" si="4">IF(($C$40-$C$33)&gt;0,ROUND((E35/($E$40-$E$33)*($C$40-$C$33)),0),0)</f>
        <v>0</v>
      </c>
      <c r="D35" s="378">
        <f t="shared" si="2"/>
        <v>0</v>
      </c>
      <c r="E35" s="378">
        <f t="shared" ref="E35:E39" si="5">IF($C$26&gt;0,ROUND((C21/($C$26-$C$19)*($E$40-$E$33)),0),0)</f>
        <v>0</v>
      </c>
      <c r="F35" s="305" t="str">
        <f t="shared" si="1"/>
        <v/>
      </c>
      <c r="G35" s="378">
        <f>$H$48</f>
        <v>0</v>
      </c>
      <c r="H35" s="378" t="str">
        <f>IF(E$26=0,"",ROUND((E21*H$40/E$26),0))</f>
        <v/>
      </c>
      <c r="I35" s="378" t="str">
        <f>IF(I$40&gt;0,MIN(F21,(F21/F$26)*I$40),"")</f>
        <v/>
      </c>
      <c r="J35" s="305" t="str">
        <f t="shared" ref="J35:J39" si="6">IF($E$5=0,"",(G35+N(H35)+N(I35))/E$5)</f>
        <v/>
      </c>
      <c r="K35" s="347"/>
      <c r="L35" s="378">
        <f>MAX(D21+E21+F21-G35-N(H35)-N(I35),0)</f>
        <v>0</v>
      </c>
      <c r="M35" s="51"/>
      <c r="N35" s="51"/>
      <c r="O35" s="51"/>
      <c r="P35" s="51"/>
      <c r="Q35" s="51"/>
      <c r="R35" s="51"/>
      <c r="S35" s="51"/>
      <c r="T35" s="51"/>
      <c r="U35" s="51"/>
      <c r="V35" s="80">
        <f>IF(I21=0,0,IF(I21&lt;F48,I21,$F$48))</f>
        <v>0</v>
      </c>
      <c r="W35" s="79">
        <f t="shared" si="3"/>
        <v>0</v>
      </c>
      <c r="X35" s="81">
        <f>IF(G21&gt;DATE(YEAR(G$20),MONTH(G$20)+W34,DAY(G$20)),G21,DATE(YEAR(G$20),MONTH(G$20)+W34,DAY(G$20)))</f>
        <v>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s="68" customFormat="1" ht="15.75" x14ac:dyDescent="0.2">
      <c r="A36" s="120" t="s">
        <v>68</v>
      </c>
      <c r="B36" s="76">
        <f>$B$22</f>
        <v>0</v>
      </c>
      <c r="C36" s="378">
        <f t="shared" si="4"/>
        <v>0</v>
      </c>
      <c r="D36" s="378">
        <f t="shared" si="2"/>
        <v>0</v>
      </c>
      <c r="E36" s="378">
        <f t="shared" si="5"/>
        <v>0</v>
      </c>
      <c r="F36" s="305" t="str">
        <f t="shared" si="1"/>
        <v/>
      </c>
      <c r="G36" s="378">
        <f>$H$50</f>
        <v>0</v>
      </c>
      <c r="H36" s="378" t="str">
        <f t="shared" ref="H36:H39" si="7">IF(E$26=0,"",ROUND((E22*H$40/E$26),0))</f>
        <v/>
      </c>
      <c r="I36" s="378" t="str">
        <f t="shared" ref="I36:I39" si="8">IF(I$40&gt;0,MIN(F22,(F22/F$26)*I$40),"")</f>
        <v/>
      </c>
      <c r="J36" s="305" t="str">
        <f t="shared" si="6"/>
        <v/>
      </c>
      <c r="K36" s="347"/>
      <c r="L36" s="378">
        <f>MAX(D22+E22+F22-G36-N(H36)-N(I36),0)</f>
        <v>0</v>
      </c>
      <c r="M36" s="268"/>
      <c r="N36" s="51"/>
      <c r="O36" s="51"/>
      <c r="P36" s="51"/>
      <c r="Q36" s="51"/>
      <c r="R36" s="51"/>
      <c r="S36" s="51"/>
      <c r="T36" s="51"/>
      <c r="U36" s="51"/>
      <c r="V36" s="80">
        <f>IF(I22=0,0,IF(I22&lt;F50,I22,$F$50))</f>
        <v>0</v>
      </c>
      <c r="W36" s="79">
        <f t="shared" si="3"/>
        <v>0</v>
      </c>
      <c r="X36" s="81">
        <f>IF(G22&gt;DATE(YEAR(G$20),MONTH(G$20)+W34+W35,DAY(G$20)),G22,DATE(YEAR(G$20),MONTH(G$20)+W34+W$35,DAY(G$20)))</f>
        <v>0</v>
      </c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s="68" customFormat="1" ht="15.75" customHeight="1" x14ac:dyDescent="0.2">
      <c r="A37" s="120" t="s">
        <v>69</v>
      </c>
      <c r="B37" s="76">
        <f>$B$23</f>
        <v>0</v>
      </c>
      <c r="C37" s="378">
        <f t="shared" si="4"/>
        <v>0</v>
      </c>
      <c r="D37" s="378">
        <f t="shared" si="2"/>
        <v>0</v>
      </c>
      <c r="E37" s="378">
        <f t="shared" si="5"/>
        <v>0</v>
      </c>
      <c r="F37" s="305" t="str">
        <f t="shared" si="1"/>
        <v/>
      </c>
      <c r="G37" s="378">
        <f>$H$52</f>
        <v>0</v>
      </c>
      <c r="H37" s="378" t="str">
        <f t="shared" si="7"/>
        <v/>
      </c>
      <c r="I37" s="378" t="str">
        <f t="shared" si="8"/>
        <v/>
      </c>
      <c r="J37" s="305" t="str">
        <f t="shared" si="6"/>
        <v/>
      </c>
      <c r="K37" s="347"/>
      <c r="L37" s="378">
        <f t="shared" ref="L37:L39" si="9">MAX(D23+E23+F23-G37-N(H37)-N(I37),0)</f>
        <v>0</v>
      </c>
      <c r="M37" s="268"/>
      <c r="N37" s="51"/>
      <c r="O37" s="51"/>
      <c r="P37" s="51"/>
      <c r="Q37" s="51"/>
      <c r="R37" s="51"/>
      <c r="S37" s="51"/>
      <c r="T37" s="51"/>
      <c r="U37" s="51"/>
      <c r="V37" s="80">
        <f>IF(I23=0,0,IF(I23&lt;F52,I23,$F$52))</f>
        <v>0</v>
      </c>
      <c r="W37" s="79">
        <f t="shared" si="3"/>
        <v>0</v>
      </c>
      <c r="X37" s="81">
        <f>IF(G23&gt;DATE(YEAR(G$20),MONTH(G$20)+W$34+W$35+W36,DAY(G$20)),G23,DATE(YEAR(G$20),MONTH(G$20)+W$34+W$35+W36,DAY(G$20)))</f>
        <v>0</v>
      </c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s="68" customFormat="1" ht="15.75" x14ac:dyDescent="0.2">
      <c r="A38" s="120" t="s">
        <v>70</v>
      </c>
      <c r="B38" s="76">
        <f>$B$24</f>
        <v>0</v>
      </c>
      <c r="C38" s="378">
        <f t="shared" si="4"/>
        <v>0</v>
      </c>
      <c r="D38" s="378">
        <f t="shared" si="2"/>
        <v>0</v>
      </c>
      <c r="E38" s="378">
        <f t="shared" si="5"/>
        <v>0</v>
      </c>
      <c r="F38" s="305" t="str">
        <f t="shared" si="1"/>
        <v/>
      </c>
      <c r="G38" s="378">
        <f>$H$54</f>
        <v>0</v>
      </c>
      <c r="H38" s="378" t="str">
        <f t="shared" si="7"/>
        <v/>
      </c>
      <c r="I38" s="378" t="str">
        <f t="shared" si="8"/>
        <v/>
      </c>
      <c r="J38" s="305" t="str">
        <f t="shared" si="6"/>
        <v/>
      </c>
      <c r="K38" s="347"/>
      <c r="L38" s="378">
        <f t="shared" si="9"/>
        <v>0</v>
      </c>
      <c r="M38" s="51"/>
      <c r="N38" s="51"/>
      <c r="O38" s="51"/>
      <c r="P38" s="51"/>
      <c r="Q38" s="51"/>
      <c r="R38" s="51"/>
      <c r="S38" s="51"/>
      <c r="T38" s="51"/>
      <c r="U38" s="51"/>
      <c r="V38" s="80">
        <f>IF(I24=0,0,IF(I24&lt;F54,I24,$F$54))</f>
        <v>0</v>
      </c>
      <c r="W38" s="79">
        <f t="shared" si="3"/>
        <v>0</v>
      </c>
      <c r="X38" s="81">
        <f>IF(G24&gt;DATE(YEAR(G$20),MONTH(G$20)+W$34+W$35+W36+W37,DAY(G$20)),G24,DATE(YEAR(G$20),MONTH(G$20)+W$34+W$35+W36+W37,DAY(G$20)))</f>
        <v>0</v>
      </c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</row>
    <row r="39" spans="1:42" s="68" customFormat="1" ht="16.5" thickBot="1" x14ac:dyDescent="0.25">
      <c r="A39" s="109" t="s">
        <v>71</v>
      </c>
      <c r="B39" s="82">
        <f>$B$25</f>
        <v>0</v>
      </c>
      <c r="C39" s="378">
        <f t="shared" si="4"/>
        <v>0</v>
      </c>
      <c r="D39" s="378">
        <f t="shared" si="2"/>
        <v>0</v>
      </c>
      <c r="E39" s="378">
        <f t="shared" si="5"/>
        <v>0</v>
      </c>
      <c r="F39" s="396" t="str">
        <f t="shared" si="1"/>
        <v/>
      </c>
      <c r="G39" s="379">
        <f>$H$56</f>
        <v>0</v>
      </c>
      <c r="H39" s="379" t="str">
        <f t="shared" si="7"/>
        <v/>
      </c>
      <c r="I39" s="379" t="str">
        <f t="shared" si="8"/>
        <v/>
      </c>
      <c r="J39" s="305" t="str">
        <f t="shared" si="6"/>
        <v/>
      </c>
      <c r="K39" s="347"/>
      <c r="L39" s="379">
        <f t="shared" si="9"/>
        <v>0</v>
      </c>
      <c r="M39" s="51"/>
      <c r="N39" s="51"/>
      <c r="O39" s="51"/>
      <c r="P39" s="51"/>
      <c r="Q39" s="51"/>
      <c r="R39" s="51"/>
      <c r="S39" s="51"/>
      <c r="T39" s="51"/>
      <c r="U39" s="51"/>
      <c r="V39" s="80">
        <f>IF(I25=0,0,IF(I25&lt;F56,I25,$F$56))</f>
        <v>0</v>
      </c>
      <c r="W39" s="79">
        <f t="shared" si="3"/>
        <v>0</v>
      </c>
      <c r="X39" s="81">
        <f>IF(G25&gt;DATE(YEAR(G$20),MONTH(G$20)+W$34+W$35+W36+W37+W38,DAY(G$20)),G25,DATE(YEAR(G$20),MONTH(G$20)+W$34+W$35+W36+W37+W38,DAY(G$20)))</f>
        <v>0</v>
      </c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</row>
    <row r="40" spans="1:42" s="219" customFormat="1" ht="24" customHeight="1" thickBot="1" x14ac:dyDescent="0.25">
      <c r="A40" s="87"/>
      <c r="B40" s="140" t="s">
        <v>155</v>
      </c>
      <c r="C40" s="380">
        <f>IF($E$40-($E$5*20%)&lt;100000,$E$40,IF($E$5*20%&lt;$E$40,ROUND($E$5*20%,0),$E$40))</f>
        <v>0</v>
      </c>
      <c r="D40" s="380">
        <f>E40-C40</f>
        <v>0</v>
      </c>
      <c r="E40" s="380">
        <f>MIN(C26,D76)</f>
        <v>0</v>
      </c>
      <c r="F40" s="407">
        <f>SUM(F33:F39)</f>
        <v>0</v>
      </c>
      <c r="G40" s="381">
        <f>SUM(G34:G39)</f>
        <v>0</v>
      </c>
      <c r="H40" s="381">
        <f>MIN(E$26,G$65)</f>
        <v>0</v>
      </c>
      <c r="I40" s="381">
        <f>IF(G$40=0,0,MIN(F$26,H$65))</f>
        <v>0</v>
      </c>
      <c r="J40" s="306">
        <f>SUM(J34:J39)</f>
        <v>0</v>
      </c>
      <c r="K40" s="381">
        <f>G40+H40+I40</f>
        <v>0</v>
      </c>
      <c r="L40" s="381">
        <f>SUM(L34:L39)</f>
        <v>0</v>
      </c>
      <c r="M40" s="26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</row>
    <row r="41" spans="1:42" customFormat="1" ht="18" customHeight="1" x14ac:dyDescent="0.2">
      <c r="A41" s="253" t="s">
        <v>215</v>
      </c>
    </row>
    <row r="42" spans="1:42" customFormat="1" ht="18" customHeight="1" x14ac:dyDescent="0.2">
      <c r="A42" s="267"/>
      <c r="H42" s="414" t="str">
        <f>IF(AND(A$60=3,G40&gt;0,F26&gt;0,E5&gt;0),"DDA &amp; CMM du Distributeur / Exigence seuil:","")</f>
        <v/>
      </c>
      <c r="I42" s="401" t="str">
        <f>IF(AND(A$60=3,G40&gt;0,F26&gt;0,E5&gt;0),SUM(G40,N(H40))/N(D65),"")</f>
        <v/>
      </c>
    </row>
    <row r="43" spans="1:42" s="68" customFormat="1" ht="18" customHeight="1" x14ac:dyDescent="0.2">
      <c r="B43" s="225"/>
      <c r="C43" s="225"/>
      <c r="D43" s="225"/>
      <c r="J43" s="51"/>
      <c r="L43" s="57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</row>
    <row r="44" spans="1:42" s="68" customFormat="1" ht="18" hidden="1" customHeight="1" x14ac:dyDescent="0.2">
      <c r="B44" s="259"/>
      <c r="C44" s="259"/>
      <c r="D44" s="259"/>
      <c r="E44" s="259"/>
      <c r="F44" s="259"/>
      <c r="G44" s="259"/>
      <c r="H44" s="259"/>
      <c r="I44" s="259"/>
      <c r="J44" s="259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</row>
    <row r="45" spans="1:42" s="68" customFormat="1" ht="21.95" customHeight="1" x14ac:dyDescent="0.2">
      <c r="A45" s="240" t="s">
        <v>80</v>
      </c>
      <c r="B45" s="53"/>
      <c r="I45" s="51"/>
      <c r="J45" s="51"/>
      <c r="K45" s="56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</row>
    <row r="46" spans="1:42" s="220" customFormat="1" ht="20.100000000000001" customHeight="1" x14ac:dyDescent="0.2">
      <c r="A46" s="368" t="s">
        <v>14</v>
      </c>
      <c r="B46" s="383">
        <f>D$20</f>
        <v>0</v>
      </c>
      <c r="C46" s="326" t="s">
        <v>30</v>
      </c>
      <c r="D46" s="327">
        <f>$I$20</f>
        <v>0</v>
      </c>
      <c r="E46" s="326" t="s">
        <v>31</v>
      </c>
      <c r="F46" s="327">
        <v>72</v>
      </c>
      <c r="G46" s="326" t="s">
        <v>32</v>
      </c>
      <c r="H46" s="382">
        <f>IF(I20&lt;72,B46,(B46/D46)*F46)</f>
        <v>0</v>
      </c>
      <c r="I46" s="472" t="s">
        <v>81</v>
      </c>
      <c r="J46" s="473"/>
      <c r="K46" s="384">
        <f>DATE(YEAR(G20),MONTH(G20)+72,DAY(G20))</f>
        <v>2192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</row>
    <row r="47" spans="1:42" s="68" customFormat="1" ht="27.95" customHeight="1" x14ac:dyDescent="0.2">
      <c r="A47" s="369"/>
      <c r="B47" s="328" t="s">
        <v>82</v>
      </c>
      <c r="C47" s="330"/>
      <c r="D47" s="330" t="s">
        <v>83</v>
      </c>
      <c r="E47" s="329"/>
      <c r="F47" s="330" t="s">
        <v>84</v>
      </c>
      <c r="G47" s="329"/>
      <c r="H47" s="328" t="s">
        <v>85</v>
      </c>
      <c r="I47" s="370"/>
      <c r="J47" s="370"/>
      <c r="K47" s="37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spans="1:42" s="68" customFormat="1" ht="20.100000000000001" customHeight="1" x14ac:dyDescent="0.2">
      <c r="A48" s="372" t="s">
        <v>15</v>
      </c>
      <c r="B48" s="383">
        <f>$D$21</f>
        <v>0</v>
      </c>
      <c r="C48" s="326" t="s">
        <v>30</v>
      </c>
      <c r="D48" s="327">
        <f>$I$21</f>
        <v>0</v>
      </c>
      <c r="E48" s="326" t="s">
        <v>31</v>
      </c>
      <c r="F48" s="331">
        <f>IF((YEAR(K$46)-YEAR(X35))*12+MONTH(K$46)-MONTH(X35)&lt;0,0,(YEAR(K$46)-YEAR(X35))*12+MONTH(K$46)-MONTH(X35))</f>
        <v>71</v>
      </c>
      <c r="G48" s="326" t="s">
        <v>32</v>
      </c>
      <c r="H48" s="382">
        <f>IF(D21=0,0,IF(D48&lt;F48,B48,(B48/D48)*F48))</f>
        <v>0</v>
      </c>
      <c r="I48" s="332"/>
      <c r="J48" s="332"/>
      <c r="K48" s="373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2" s="68" customFormat="1" ht="27.95" customHeight="1" x14ac:dyDescent="0.2">
      <c r="A49" s="369"/>
      <c r="B49" s="328" t="s">
        <v>82</v>
      </c>
      <c r="C49" s="330"/>
      <c r="D49" s="330" t="s">
        <v>83</v>
      </c>
      <c r="E49" s="329"/>
      <c r="F49" s="330" t="s">
        <v>84</v>
      </c>
      <c r="G49" s="329"/>
      <c r="H49" s="328" t="s">
        <v>85</v>
      </c>
      <c r="I49" s="370"/>
      <c r="J49" s="370"/>
      <c r="K49" s="37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</row>
    <row r="50" spans="1:42" s="68" customFormat="1" ht="20.100000000000001" customHeight="1" x14ac:dyDescent="0.2">
      <c r="A50" s="372" t="s">
        <v>16</v>
      </c>
      <c r="B50" s="383">
        <f>$D$22</f>
        <v>0</v>
      </c>
      <c r="C50" s="326" t="s">
        <v>30</v>
      </c>
      <c r="D50" s="327">
        <f>$I$22</f>
        <v>0</v>
      </c>
      <c r="E50" s="326" t="s">
        <v>31</v>
      </c>
      <c r="F50" s="331">
        <f>IF((YEAR(K$46)-YEAR(X36))*12+MONTH(K$46)-MONTH(X36)&lt;0,0,(YEAR(K$46)-YEAR(X36))*12+MONTH(K$46)-MONTH(X36))</f>
        <v>71</v>
      </c>
      <c r="G50" s="326" t="s">
        <v>32</v>
      </c>
      <c r="H50" s="382">
        <f>IF(D22=0,0,IF(D50&lt;F50,B50,(B50/D50)*F50))</f>
        <v>0</v>
      </c>
      <c r="I50" s="332"/>
      <c r="J50" s="332"/>
      <c r="K50" s="373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</row>
    <row r="51" spans="1:42" s="68" customFormat="1" ht="27.95" customHeight="1" x14ac:dyDescent="0.2">
      <c r="A51" s="369"/>
      <c r="B51" s="328" t="s">
        <v>82</v>
      </c>
      <c r="C51" s="330"/>
      <c r="D51" s="330" t="s">
        <v>83</v>
      </c>
      <c r="E51" s="329"/>
      <c r="F51" s="330" t="s">
        <v>84</v>
      </c>
      <c r="G51" s="329"/>
      <c r="H51" s="328" t="s">
        <v>85</v>
      </c>
      <c r="I51" s="370"/>
      <c r="J51" s="370"/>
      <c r="K51" s="37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</row>
    <row r="52" spans="1:42" s="68" customFormat="1" ht="20.100000000000001" customHeight="1" x14ac:dyDescent="0.2">
      <c r="A52" s="372" t="s">
        <v>17</v>
      </c>
      <c r="B52" s="383">
        <f>$D$23</f>
        <v>0</v>
      </c>
      <c r="C52" s="326" t="s">
        <v>30</v>
      </c>
      <c r="D52" s="331">
        <f>$I$23</f>
        <v>0</v>
      </c>
      <c r="E52" s="326" t="s">
        <v>31</v>
      </c>
      <c r="F52" s="331">
        <f>IF((YEAR(K$46)-YEAR(X37))*12+MONTH(K$46)-MONTH(X37)&lt;0,0,(YEAR(K$46)-YEAR(X37))*12+MONTH(K$46)-MONTH(X37))</f>
        <v>71</v>
      </c>
      <c r="G52" s="326" t="s">
        <v>32</v>
      </c>
      <c r="H52" s="382">
        <f>IF(D23=0,0,IF(D52&lt;F52,B52,(B52/D52)*F52))</f>
        <v>0</v>
      </c>
      <c r="I52" s="332"/>
      <c r="J52" s="332"/>
      <c r="K52" s="373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</row>
    <row r="53" spans="1:42" s="68" customFormat="1" ht="27.95" customHeight="1" x14ac:dyDescent="0.2">
      <c r="A53" s="369"/>
      <c r="B53" s="328" t="s">
        <v>82</v>
      </c>
      <c r="C53" s="330"/>
      <c r="D53" s="330" t="s">
        <v>83</v>
      </c>
      <c r="E53" s="329"/>
      <c r="F53" s="330" t="s">
        <v>84</v>
      </c>
      <c r="G53" s="329"/>
      <c r="H53" s="328" t="s">
        <v>85</v>
      </c>
      <c r="I53" s="370"/>
      <c r="J53" s="370"/>
      <c r="K53" s="37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</row>
    <row r="54" spans="1:42" s="68" customFormat="1" ht="20.100000000000001" customHeight="1" x14ac:dyDescent="0.2">
      <c r="A54" s="372" t="s">
        <v>18</v>
      </c>
      <c r="B54" s="383">
        <f>$D$24</f>
        <v>0</v>
      </c>
      <c r="C54" s="326" t="s">
        <v>30</v>
      </c>
      <c r="D54" s="331">
        <f>$I$24</f>
        <v>0</v>
      </c>
      <c r="E54" s="326" t="s">
        <v>31</v>
      </c>
      <c r="F54" s="331">
        <f>IF((YEAR(K$46)-YEAR(X38))*12+MONTH(K$46)-MONTH(X38)&lt;0,0,(YEAR(K$46)-YEAR(X38))*12+MONTH(K$46)-MONTH(X38))</f>
        <v>71</v>
      </c>
      <c r="G54" s="326" t="s">
        <v>32</v>
      </c>
      <c r="H54" s="382">
        <f>IF(D24=0,0,IF(D54&lt;F54,B54,(B54/D54)*F54))</f>
        <v>0</v>
      </c>
      <c r="I54" s="332"/>
      <c r="J54" s="332"/>
      <c r="K54" s="373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</row>
    <row r="55" spans="1:42" s="68" customFormat="1" ht="27.95" customHeight="1" x14ac:dyDescent="0.2">
      <c r="A55" s="369"/>
      <c r="B55" s="328" t="s">
        <v>82</v>
      </c>
      <c r="C55" s="330"/>
      <c r="D55" s="330" t="s">
        <v>83</v>
      </c>
      <c r="E55" s="329"/>
      <c r="F55" s="330" t="s">
        <v>84</v>
      </c>
      <c r="G55" s="329"/>
      <c r="H55" s="328" t="s">
        <v>85</v>
      </c>
      <c r="I55" s="370"/>
      <c r="J55" s="370"/>
      <c r="K55" s="37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</row>
    <row r="56" spans="1:42" s="68" customFormat="1" ht="20.100000000000001" customHeight="1" x14ac:dyDescent="0.2">
      <c r="A56" s="372" t="s">
        <v>19</v>
      </c>
      <c r="B56" s="383">
        <f>$D$25</f>
        <v>0</v>
      </c>
      <c r="C56" s="326" t="s">
        <v>30</v>
      </c>
      <c r="D56" s="331">
        <f>$I$25</f>
        <v>0</v>
      </c>
      <c r="E56" s="326" t="s">
        <v>31</v>
      </c>
      <c r="F56" s="331">
        <f>IF((YEAR(K$46)-YEAR(X39))*12+MONTH(K$46)-MONTH(X39)&lt;0,0,(YEAR(K$46)-YEAR(X39))*12+MONTH(K$46)-MONTH(X39))</f>
        <v>71</v>
      </c>
      <c r="G56" s="326" t="s">
        <v>32</v>
      </c>
      <c r="H56" s="382">
        <f>IF(D25=0,0,IF(D56&lt;F56,B56,(B56/D56)*F56))</f>
        <v>0</v>
      </c>
      <c r="I56" s="332"/>
      <c r="J56" s="332"/>
      <c r="K56" s="373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</row>
    <row r="57" spans="1:42" s="68" customFormat="1" ht="27.95" customHeight="1" x14ac:dyDescent="0.2">
      <c r="A57" s="374"/>
      <c r="B57" s="375" t="s">
        <v>82</v>
      </c>
      <c r="C57" s="376"/>
      <c r="D57" s="376" t="s">
        <v>83</v>
      </c>
      <c r="E57" s="377"/>
      <c r="F57" s="376" t="s">
        <v>84</v>
      </c>
      <c r="G57" s="377"/>
      <c r="H57" s="375" t="s">
        <v>85</v>
      </c>
      <c r="I57" s="332"/>
      <c r="J57" s="332"/>
      <c r="K57" s="373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</row>
    <row r="58" spans="1:42" s="68" customFormat="1" ht="18" customHeight="1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</row>
    <row r="59" spans="1:42" s="68" customFormat="1" ht="21.95" customHeight="1" x14ac:dyDescent="0.2">
      <c r="A59" s="458" t="s">
        <v>151</v>
      </c>
      <c r="B59" s="459"/>
      <c r="C59"/>
      <c r="D59"/>
      <c r="E59"/>
      <c r="F59"/>
      <c r="G59" s="425" t="s">
        <v>217</v>
      </c>
      <c r="H59" s="426"/>
      <c r="I59" s="287"/>
      <c r="J59" s="287"/>
      <c r="K59" s="287"/>
      <c r="L59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</row>
    <row r="60" spans="1:42" s="68" customFormat="1" ht="51.75" customHeight="1" x14ac:dyDescent="0.2">
      <c r="A60" s="403">
        <v>1</v>
      </c>
      <c r="B60" s="258" t="s">
        <v>86</v>
      </c>
      <c r="C60" s="232" t="s">
        <v>87</v>
      </c>
      <c r="D60" s="232" t="s">
        <v>88</v>
      </c>
      <c r="E60" s="231" t="s">
        <v>89</v>
      </c>
      <c r="F60" s="231" t="s">
        <v>90</v>
      </c>
      <c r="G60" s="404" t="s">
        <v>218</v>
      </c>
      <c r="H60" s="404" t="s">
        <v>219</v>
      </c>
      <c r="I60" s="323"/>
      <c r="J60" s="324"/>
      <c r="K60" s="93"/>
      <c r="L60" s="219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s="68" customFormat="1" ht="19.5" hidden="1" customHeight="1" x14ac:dyDescent="0.2">
      <c r="A61" s="390"/>
      <c r="B61"/>
      <c r="C61"/>
      <c r="D61"/>
      <c r="E61"/>
      <c r="F61"/>
      <c r="G61"/>
      <c r="H61" s="402"/>
      <c r="I61" s="323"/>
      <c r="J61" s="62" t="s">
        <v>57</v>
      </c>
      <c r="K61" s="323"/>
      <c r="L61" s="219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s="68" customFormat="1" ht="15.75" hidden="1" x14ac:dyDescent="0.2">
      <c r="A62" s="390"/>
      <c r="B62"/>
      <c r="C62"/>
      <c r="D62"/>
      <c r="E62"/>
      <c r="F62"/>
      <c r="G62"/>
      <c r="H62" s="402"/>
      <c r="I62" s="388"/>
      <c r="J62" s="93" t="s">
        <v>97</v>
      </c>
      <c r="K62" s="62" t="s">
        <v>154</v>
      </c>
      <c r="L62" s="99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s="68" customFormat="1" ht="15.75" hidden="1" x14ac:dyDescent="0.2">
      <c r="A63" s="390"/>
      <c r="B63"/>
      <c r="C63"/>
      <c r="D63"/>
      <c r="E63"/>
      <c r="F63"/>
      <c r="G63"/>
      <c r="H63" s="402"/>
      <c r="I63" s="388"/>
      <c r="J63" s="293"/>
      <c r="K63" s="93" t="s">
        <v>92</v>
      </c>
      <c r="L63" s="99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s="220" customFormat="1" ht="15.75" hidden="1" x14ac:dyDescent="0.2">
      <c r="A64" s="390"/>
      <c r="B64"/>
      <c r="C64"/>
      <c r="D64"/>
      <c r="E64"/>
      <c r="F64"/>
      <c r="G64"/>
      <c r="H64" s="402"/>
      <c r="I64" s="388"/>
      <c r="J64" s="389"/>
      <c r="K64" s="93" t="s">
        <v>157</v>
      </c>
      <c r="L64" s="99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</row>
    <row r="65" spans="1:49" s="220" customFormat="1" ht="24.95" customHeight="1" x14ac:dyDescent="0.2">
      <c r="A65" s="288"/>
      <c r="B65" s="272" t="s">
        <v>96</v>
      </c>
      <c r="C65" s="385">
        <v>0.1</v>
      </c>
      <c r="D65" s="386" t="str">
        <f>IF(C$26&gt;0,ROUND(($E$5*C65),0),"S/O")</f>
        <v>S/O</v>
      </c>
      <c r="E65" s="320" t="str">
        <f>IF(D65="S/O","S/O",
IF(G$40+MIN(E$26,MAX(D65-G$40,0))&gt;=D65,"Oui",
IF(AND(A$60=3,G$40+MIN(E$26,MAX(D65-G$40,0))&gt;=75%*D65,
G$40+MIN(E$26,MAX(D65-G$40,0))+MIN(F$26,D65-G$40-MIN(E$26,MAX(D65-G$40,0)))&gt;=D65),"Oui","Non")))</f>
        <v>S/O</v>
      </c>
      <c r="F65" s="386" t="str">
        <f>IF(E65="S/O","S/O",G$40+MIN(H$40,E$26)+MIN(I$40,F$26)-D65)</f>
        <v>S/O</v>
      </c>
      <c r="G65" s="387" t="str">
        <f>IF(E65="S/O","S/O",
IF(AND(E$26&gt;0,G$40&gt;0),MAX(D65-G$40,0),0))</f>
        <v>S/O</v>
      </c>
      <c r="H65" s="387" t="str">
        <f>IF(E65="S/O","S/O",
IF(AND(A$60=3,F$26&gt;0,G$40+H$40&gt;=75%*D$65),MAX(ROUND(D$65-G$40-H$40,0),0),0))</f>
        <v>S/O</v>
      </c>
      <c r="I65" s="388"/>
      <c r="J65" s="388"/>
      <c r="K65" s="93" t="s">
        <v>94</v>
      </c>
      <c r="L65" s="99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</row>
    <row r="66" spans="1:49" s="220" customFormat="1" ht="18" hidden="1" customHeight="1" x14ac:dyDescent="0.2">
      <c r="A66"/>
      <c r="B66"/>
      <c r="C66"/>
      <c r="D66"/>
      <c r="E66"/>
      <c r="F66"/>
      <c r="G66"/>
      <c r="H66"/>
      <c r="I66"/>
      <c r="J66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</row>
    <row r="67" spans="1:49" s="220" customFormat="1" ht="18" hidden="1" customHeight="1" x14ac:dyDescent="0.2">
      <c r="A67"/>
      <c r="B67"/>
      <c r="C67"/>
      <c r="D67"/>
      <c r="E67"/>
      <c r="F67"/>
      <c r="G67"/>
      <c r="H67"/>
      <c r="I67"/>
      <c r="J67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</row>
    <row r="68" spans="1:49" s="220" customFormat="1" ht="18" hidden="1" customHeight="1" x14ac:dyDescent="0.2">
      <c r="A68"/>
      <c r="B68"/>
      <c r="C68"/>
      <c r="D68"/>
      <c r="E68"/>
      <c r="F68"/>
      <c r="G68"/>
      <c r="H68"/>
      <c r="I68"/>
      <c r="J68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</row>
    <row r="69" spans="1:49" s="220" customFormat="1" ht="18" hidden="1" customHeight="1" x14ac:dyDescent="0.2">
      <c r="A69"/>
      <c r="B69"/>
      <c r="C69"/>
      <c r="D69"/>
      <c r="E69"/>
      <c r="F69"/>
      <c r="G69"/>
      <c r="H69"/>
      <c r="I69"/>
      <c r="J69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</row>
    <row r="70" spans="1:49" s="221" customFormat="1" ht="18" hidden="1" customHeight="1" x14ac:dyDescent="0.2">
      <c r="H70" s="270"/>
      <c r="I70" s="99"/>
      <c r="J70" s="99"/>
      <c r="K70" s="99"/>
      <c r="L70" s="63"/>
      <c r="M70" s="5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</row>
    <row r="71" spans="1:49" s="68" customFormat="1" ht="18" hidden="1" customHeight="1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63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</row>
    <row r="72" spans="1:49" s="220" customFormat="1" ht="18" customHeight="1" x14ac:dyDescent="0.2">
      <c r="C72" s="68"/>
      <c r="D72" s="68"/>
      <c r="E72" s="68"/>
      <c r="F72" s="68"/>
      <c r="G72" s="68"/>
      <c r="H72" s="68"/>
      <c r="I72" s="51"/>
      <c r="J72" s="51"/>
      <c r="K72" s="51"/>
      <c r="L72" s="51"/>
      <c r="M72" s="51"/>
      <c r="N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</row>
    <row r="73" spans="1:49" s="27" customFormat="1" ht="21.95" customHeight="1" x14ac:dyDescent="0.2">
      <c r="A73" s="457" t="s">
        <v>159</v>
      </c>
      <c r="B73" s="457"/>
      <c r="E73" s="26"/>
      <c r="F73" s="26"/>
      <c r="G73" s="26"/>
      <c r="H73" s="26"/>
      <c r="I73" s="26"/>
      <c r="J73" s="26"/>
      <c r="K73" s="26"/>
      <c r="L73" s="26"/>
      <c r="M73" s="51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49" s="27" customFormat="1" ht="39.950000000000003" customHeight="1" x14ac:dyDescent="0.2">
      <c r="C74" s="157"/>
      <c r="D74" s="420" t="s">
        <v>166</v>
      </c>
      <c r="E74" s="420"/>
      <c r="F74" s="421"/>
      <c r="G74" s="422" t="s">
        <v>167</v>
      </c>
      <c r="H74" s="423"/>
      <c r="I74" s="424"/>
      <c r="J74" s="420" t="s">
        <v>168</v>
      </c>
      <c r="K74" s="420"/>
      <c r="L74" s="421"/>
      <c r="M74"/>
      <c r="N74"/>
      <c r="O74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</row>
    <row r="75" spans="1:49" s="222" customFormat="1" ht="50.1" customHeight="1" x14ac:dyDescent="0.2">
      <c r="A75" s="105"/>
      <c r="B75" s="418" t="s">
        <v>86</v>
      </c>
      <c r="C75" s="456"/>
      <c r="D75" s="158" t="s">
        <v>156</v>
      </c>
      <c r="E75" s="158" t="s">
        <v>177</v>
      </c>
      <c r="F75" s="158" t="s">
        <v>100</v>
      </c>
      <c r="G75" s="279" t="s">
        <v>156</v>
      </c>
      <c r="H75" s="279" t="s">
        <v>177</v>
      </c>
      <c r="I75" s="279" t="s">
        <v>100</v>
      </c>
      <c r="J75" s="158" t="s">
        <v>156</v>
      </c>
      <c r="K75" s="158" t="s">
        <v>177</v>
      </c>
      <c r="L75" s="158" t="s">
        <v>100</v>
      </c>
      <c r="M75"/>
      <c r="N75"/>
      <c r="O75"/>
      <c r="P75" s="106"/>
      <c r="Q75" s="106"/>
      <c r="R75" s="106"/>
      <c r="S75" s="107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</row>
    <row r="76" spans="1:49" s="221" customFormat="1" ht="110.1" customHeight="1" x14ac:dyDescent="0.2">
      <c r="A76" s="102"/>
      <c r="B76" s="156" t="str">
        <f>B65</f>
        <v>Projets de langues diverses</v>
      </c>
      <c r="C76" s="156" t="s">
        <v>225</v>
      </c>
      <c r="D76" s="320" t="str">
        <f>IF(AND(G$76="S/O",J$76="S/O",E$5&lt;=0),"S/O",MIN(N(G$76)+N(J$76),E5*49%))</f>
        <v>S/O</v>
      </c>
      <c r="E76" s="360" t="str">
        <f>IF(D$76="S/O","S/O",IF(C$26&gt;D$76,"Non","Oui"))</f>
        <v>S/O</v>
      </c>
      <c r="F76" s="320" t="str">
        <f>IF(E$76="Non",N(I$76)+N(L$76),"S/O")</f>
        <v>S/O</v>
      </c>
      <c r="G76" s="320" t="str">
        <f>IF(AND($C$26-$C$19&gt;0,E$5&gt;0),ROUND(E$5*49%,0),"S/O")</f>
        <v>S/O</v>
      </c>
      <c r="H76" s="360" t="str">
        <f>IF(G$76="S/O","S/O",IF($C$26-$C$19&gt;G$76,"Non","Oui"))</f>
        <v>S/O</v>
      </c>
      <c r="I76" s="320" t="str">
        <f>IF(H$76="Non",($C$26-$C$19)-G$76,"S/O")</f>
        <v>S/O</v>
      </c>
      <c r="J76" s="320" t="str">
        <f>IF(AND(C$19&gt;0,E$5&gt;0,C$10="oui"),ROUND(E$5*(49%-MIN(N(G$76)/E$5,(C$26-C$19)/E$5)),0),"S/O")</f>
        <v>S/O</v>
      </c>
      <c r="K76" s="360" t="str">
        <f>IF(J$76="S/O","S/O",IF(C$19&gt;J$76,"Non","Oui"))</f>
        <v>S/O</v>
      </c>
      <c r="L76" s="320" t="str">
        <f>IF(K$76="Non",C$19-J$76,"S/O")</f>
        <v>S/O</v>
      </c>
      <c r="M76"/>
      <c r="N76"/>
      <c r="O76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</row>
    <row r="77" spans="1:49" customFormat="1" x14ac:dyDescent="0.2"/>
    <row r="78" spans="1:49" customFormat="1" ht="30" customHeight="1" x14ac:dyDescent="0.2"/>
    <row r="79" spans="1:49" customFormat="1" ht="35.450000000000003" customHeight="1" x14ac:dyDescent="0.2"/>
    <row r="80" spans="1:49" customFormat="1" ht="30" customHeight="1" x14ac:dyDescent="0.2"/>
    <row r="81" spans="1:41" customFormat="1" ht="30" customHeight="1" x14ac:dyDescent="0.2"/>
    <row r="82" spans="1:41" customFormat="1" x14ac:dyDescent="0.2"/>
    <row r="83" spans="1:41" x14ac:dyDescent="0.2">
      <c r="M83" s="99"/>
      <c r="N83" s="99"/>
      <c r="O83" s="99"/>
      <c r="AL83" s="217"/>
      <c r="AM83" s="217"/>
      <c r="AN83" s="217"/>
      <c r="AO83" s="217"/>
    </row>
    <row r="84" spans="1:41" x14ac:dyDescent="0.2">
      <c r="M84" s="99"/>
      <c r="N84" s="99"/>
      <c r="O84" s="99"/>
      <c r="AL84" s="217"/>
      <c r="AM84" s="217"/>
      <c r="AN84" s="217"/>
      <c r="AO84" s="217"/>
    </row>
    <row r="85" spans="1:41" x14ac:dyDescent="0.2">
      <c r="M85" s="99"/>
      <c r="N85" s="99"/>
      <c r="O85" s="99"/>
      <c r="AL85" s="217"/>
      <c r="AM85" s="217"/>
      <c r="AN85" s="217"/>
      <c r="AO85" s="217"/>
    </row>
    <row r="86" spans="1:41" x14ac:dyDescent="0.2">
      <c r="AL86" s="217"/>
      <c r="AM86" s="217"/>
      <c r="AN86" s="217"/>
      <c r="AO86" s="217"/>
    </row>
    <row r="87" spans="1:41" x14ac:dyDescent="0.2">
      <c r="AL87" s="217"/>
      <c r="AM87" s="217"/>
      <c r="AN87" s="217"/>
      <c r="AO87" s="217"/>
    </row>
    <row r="88" spans="1:41" x14ac:dyDescent="0.2">
      <c r="AL88" s="217"/>
      <c r="AM88" s="217"/>
      <c r="AN88" s="217"/>
      <c r="AO88" s="217"/>
    </row>
    <row r="89" spans="1:41" x14ac:dyDescent="0.2">
      <c r="AL89" s="217"/>
      <c r="AM89" s="217"/>
      <c r="AN89" s="217"/>
      <c r="AO89" s="217"/>
    </row>
    <row r="90" spans="1:41" x14ac:dyDescent="0.2">
      <c r="AL90" s="217"/>
      <c r="AM90" s="217"/>
      <c r="AN90" s="217"/>
      <c r="AO90" s="217"/>
    </row>
    <row r="91" spans="1:41" x14ac:dyDescent="0.2">
      <c r="AL91" s="217"/>
      <c r="AM91" s="217"/>
      <c r="AN91" s="217"/>
      <c r="AO91" s="217"/>
    </row>
    <row r="92" spans="1:41" x14ac:dyDescent="0.2">
      <c r="AL92" s="217"/>
      <c r="AM92" s="217"/>
      <c r="AN92" s="217"/>
      <c r="AO92" s="217"/>
    </row>
    <row r="93" spans="1:41" s="116" customFormat="1" x14ac:dyDescent="0.2">
      <c r="A93" s="5"/>
      <c r="B93" s="224"/>
      <c r="C93" s="6"/>
      <c r="D93" s="6"/>
      <c r="E93" s="5"/>
      <c r="F93" s="5"/>
      <c r="G93" s="5"/>
      <c r="H93" s="5"/>
      <c r="I93" s="5"/>
      <c r="J93" s="5"/>
      <c r="K93" s="5"/>
      <c r="L93" s="5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215"/>
      <c r="AM93" s="215"/>
      <c r="AN93" s="215"/>
      <c r="AO93" s="215"/>
    </row>
    <row r="94" spans="1:41" s="116" customFormat="1" x14ac:dyDescent="0.2">
      <c r="A94" s="5"/>
      <c r="B94" s="415"/>
      <c r="C94" s="415"/>
      <c r="D94" s="415"/>
      <c r="E94" s="5"/>
      <c r="F94" s="5"/>
      <c r="G94" s="5"/>
      <c r="H94" s="5"/>
      <c r="I94" s="5"/>
      <c r="J94" s="5"/>
      <c r="K94" s="5"/>
      <c r="L94" s="5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215"/>
      <c r="AM94" s="215"/>
      <c r="AN94" s="215"/>
      <c r="AO94" s="215"/>
    </row>
    <row r="95" spans="1:41" s="116" customFormat="1" x14ac:dyDescent="0.2">
      <c r="A95" s="5"/>
      <c r="B95" s="416"/>
      <c r="C95" s="416"/>
      <c r="D95" s="416"/>
      <c r="E95" s="5"/>
      <c r="F95" s="5"/>
      <c r="G95" s="5"/>
      <c r="H95" s="5"/>
      <c r="I95" s="5"/>
      <c r="J95" s="5"/>
      <c r="K95" s="5"/>
      <c r="L95" s="5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215"/>
      <c r="AM95" s="215"/>
      <c r="AN95" s="215"/>
      <c r="AO95" s="215"/>
    </row>
  </sheetData>
  <sheetProtection algorithmName="SHA-512" hashValue="7TH2NdzWMBFJe1GTzlooCbjWZHOWhdhfGcL73X8AnQG6mDjSTmQZACcJUiuz+UutFCdntaVJo5RvUyqoqib3NA==" saltValue="tb1WO4NSukjCeUjDAxr9ag==" spinCount="100000" sheet="1" objects="1" scenarios="1"/>
  <dataConsolidate/>
  <mergeCells count="25">
    <mergeCell ref="C1:K1"/>
    <mergeCell ref="A26:B26"/>
    <mergeCell ref="C5:D5"/>
    <mergeCell ref="I9:J9"/>
    <mergeCell ref="B2:D2"/>
    <mergeCell ref="F2:G2"/>
    <mergeCell ref="H2:I2"/>
    <mergeCell ref="J2:K2"/>
    <mergeCell ref="A10:B10"/>
    <mergeCell ref="A18:B18"/>
    <mergeCell ref="B95:D95"/>
    <mergeCell ref="B75:C75"/>
    <mergeCell ref="B94:D94"/>
    <mergeCell ref="D74:F74"/>
    <mergeCell ref="A11:B11"/>
    <mergeCell ref="A73:B73"/>
    <mergeCell ref="A59:B59"/>
    <mergeCell ref="A28:A29"/>
    <mergeCell ref="B28:K29"/>
    <mergeCell ref="H31:I31"/>
    <mergeCell ref="A32:B32"/>
    <mergeCell ref="G74:I74"/>
    <mergeCell ref="J74:L74"/>
    <mergeCell ref="I46:J46"/>
    <mergeCell ref="G59:H59"/>
  </mergeCells>
  <conditionalFormatting sqref="E65">
    <cfRule type="containsText" dxfId="16" priority="49" operator="containsText" text="No">
      <formula>NOT(ISERROR(SEARCH("No",E65)))</formula>
    </cfRule>
  </conditionalFormatting>
  <conditionalFormatting sqref="E76">
    <cfRule type="containsText" dxfId="15" priority="16" operator="containsText" text="No">
      <formula>NOT(ISERROR(SEARCH("No",E76)))</formula>
    </cfRule>
  </conditionalFormatting>
  <conditionalFormatting sqref="G59">
    <cfRule type="containsText" dxfId="14" priority="1" operator="containsText" text="(4) The indicated Market Contribution exceeds the Maximal Market Contribution.">
      <formula>NOT(ISERROR(SEARCH("(4) The indicated Market Contribution exceeds the Maximal Market Contribution.",G59)))</formula>
    </cfRule>
  </conditionalFormatting>
  <conditionalFormatting sqref="H76">
    <cfRule type="containsText" dxfId="13" priority="17" operator="containsText" text="No">
      <formula>NOT(ISERROR(SEARCH("No",H76)))</formula>
    </cfRule>
  </conditionalFormatting>
  <conditionalFormatting sqref="H42:I42">
    <cfRule type="expression" dxfId="12" priority="2">
      <formula>$I$40&lt;&gt;""</formula>
    </cfRule>
  </conditionalFormatting>
  <conditionalFormatting sqref="K76">
    <cfRule type="containsText" dxfId="11" priority="15" stopIfTrue="1" operator="containsText" text="No">
      <formula>NOT(ISERROR(SEARCH("No",K76)))</formula>
    </cfRule>
  </conditionalFormatting>
  <dataValidations count="11">
    <dataValidation type="whole" allowBlank="1" showInputMessage="1" showErrorMessage="1" errorTitle="Not a number" error="Enter the Envelope Contribution for this licence" sqref="E34:E40" xr:uid="{518C4E90-9FE3-4A71-A141-842D107C714D}">
      <formula1>0</formula1>
      <formula2>999999999999999</formula2>
    </dataValidation>
    <dataValidation type="date" allowBlank="1" showInputMessage="1" showErrorMessage="1" promptTitle="Date" prompt="ex. A-M-J" sqref="G20:G25" xr:uid="{788D2467-C15E-472E-A327-9921E352E477}">
      <formula1>36526</formula1>
      <formula2>401749</formula2>
    </dataValidation>
    <dataValidation type="decimal" allowBlank="1" showInputMessage="1" showErrorMessage="1" errorTitle="Not a number" error="Enter the Envelope Contribution for this licence" sqref="C20:C21 F21" xr:uid="{E1496B0B-8324-416C-AA75-86A65551287B}">
      <formula1>0</formula1>
      <formula2>999999999999999</formula2>
    </dataValidation>
    <dataValidation type="whole" allowBlank="1" showInputMessage="1" showErrorMessage="1" sqref="J20:J25" xr:uid="{497CCC6F-2EE8-4C8D-BDDE-0F698D9FFD0D}">
      <formula1>0</formula1>
      <formula2>999</formula2>
    </dataValidation>
    <dataValidation allowBlank="1" showInputMessage="1" showErrorMessage="1" promptTitle="# of Months" prompt="Enter adjusted exclusivity in &quot;number of months&quot;." sqref="W34:W39" xr:uid="{98235257-791B-42D4-8767-FB06C07C9A79}"/>
    <dataValidation type="decimal" allowBlank="1" showErrorMessage="1" errorTitle="Not a number" error="Enter the Envelope Contribution for this licence" sqref="C25 C22:C23" xr:uid="{0A4D4496-483F-4661-B35D-6BE9C43F23AD}">
      <formula1>0</formula1>
      <formula2>999999999999999</formula2>
    </dataValidation>
    <dataValidation allowBlank="1" showInputMessage="1" showErrorMessage="1" promptTitle="Nombre de mois" prompt="Saisir la période en mois. Les équations sont permises (ex. : =6*12)" sqref="I20:I25" xr:uid="{23115284-27A7-4D78-A904-C8087739580F}"/>
    <dataValidation type="list" allowBlank="1" showInputMessage="1" showErrorMessage="1" sqref="C10" xr:uid="{0489DC6C-EB8B-4C12-A857-AD7E531EB3E8}">
      <formula1>$J$60:$J$62</formula1>
    </dataValidation>
    <dataValidation type="decimal" allowBlank="1" showInputMessage="1" showErrorMessage="1" errorTitle="Not a number" error="Enter the Envelope Contribution for this licence" prompt="SVP entrez les télédiffuseurs en premier, voir note (1) ci-dessus" sqref="E20:F20" xr:uid="{C1647ED7-25F9-4034-8C3A-903CA87FFD97}">
      <formula1>0</formula1>
      <formula2>999999999999999</formula2>
    </dataValidation>
    <dataValidation allowBlank="1" showInputMessage="1" showErrorMessage="1" promptTitle="Entité Int. (CMM)" prompt="Pour E&amp;J : les DDA + la CMM doivent être au moins 75% de l’exigence seuil. Voir aussi la note (3)." sqref="I42" xr:uid="{808EFA18-D7FF-4FD3-987B-C58A49B0C6BF}"/>
    <dataValidation type="custom" showInputMessage="1" showErrorMessage="1" error="SVP ne pas supprimer" sqref="A60" xr:uid="{3A95C817-7E01-408F-AEB6-83130801D68A}">
      <formula1>""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1" manualBreakCount="1">
    <brk id="3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Drop Down 3">
              <controlPr locked="0" defaultSize="0" autoLine="0" autoPict="0">
                <anchor moveWithCells="1">
                  <from>
                    <xdr:col>2</xdr:col>
                    <xdr:colOff>57150</xdr:colOff>
                    <xdr:row>6</xdr:row>
                    <xdr:rowOff>9525</xdr:rowOff>
                  </from>
                  <to>
                    <xdr:col>5</xdr:col>
                    <xdr:colOff>9525</xdr:colOff>
                    <xdr:row>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09B9-039E-4A3E-AAD4-8007778A52A7}">
  <sheetPr>
    <tabColor theme="6" tint="0.39997558519241921"/>
  </sheetPr>
  <dimension ref="A1:AW126"/>
  <sheetViews>
    <sheetView topLeftCell="A5" zoomScaleNormal="100" workbookViewId="0">
      <selection activeCell="E13" sqref="E13"/>
    </sheetView>
  </sheetViews>
  <sheetFormatPr baseColWidth="10" defaultColWidth="8.88671875" defaultRowHeight="15" x14ac:dyDescent="0.2"/>
  <cols>
    <col min="1" max="1" width="10.88671875" customWidth="1"/>
    <col min="2" max="2" width="19.21875" style="3" customWidth="1"/>
    <col min="3" max="3" width="13.88671875" customWidth="1"/>
    <col min="4" max="4" width="12.21875" customWidth="1"/>
    <col min="5" max="5" width="10.77734375" customWidth="1"/>
    <col min="6" max="6" width="11.77734375" customWidth="1"/>
    <col min="7" max="9" width="10.77734375" customWidth="1"/>
    <col min="10" max="10" width="8.77734375" customWidth="1"/>
    <col min="11" max="11" width="12.5546875" customWidth="1"/>
    <col min="12" max="15" width="8.77734375" customWidth="1"/>
    <col min="18" max="18" width="9.6640625" bestFit="1" customWidth="1"/>
    <col min="42" max="16384" width="8.88671875" style="2"/>
  </cols>
  <sheetData>
    <row r="1" spans="1:47" ht="76.150000000000006" customHeight="1" thickBot="1" x14ac:dyDescent="0.25">
      <c r="A1" s="8"/>
      <c r="B1" s="9"/>
      <c r="C1" s="509" t="s">
        <v>101</v>
      </c>
      <c r="D1" s="509"/>
      <c r="E1" s="509"/>
      <c r="F1" s="509"/>
      <c r="G1" s="509"/>
      <c r="H1" s="509"/>
      <c r="I1" s="509"/>
      <c r="J1" s="509"/>
      <c r="K1" s="509"/>
      <c r="AP1" s="25"/>
      <c r="AQ1" s="25"/>
      <c r="AR1" s="25"/>
      <c r="AS1" s="25"/>
      <c r="AT1" s="25"/>
      <c r="AU1" s="25"/>
    </row>
    <row r="2" spans="1:47" s="1" customFormat="1" ht="31.5" customHeight="1" thickBot="1" x14ac:dyDescent="0.25">
      <c r="A2" s="206" t="s">
        <v>51</v>
      </c>
      <c r="B2" s="434"/>
      <c r="C2" s="478"/>
      <c r="D2" s="479"/>
      <c r="E2" s="163" t="s">
        <v>102</v>
      </c>
      <c r="F2" s="434"/>
      <c r="G2" s="480"/>
      <c r="H2" s="481" t="s">
        <v>2</v>
      </c>
      <c r="I2" s="481"/>
      <c r="J2" s="482"/>
      <c r="K2" s="48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 s="252"/>
      <c r="AO2" s="252"/>
      <c r="AP2" s="252"/>
      <c r="AQ2" s="252"/>
      <c r="AR2" s="252"/>
      <c r="AS2" s="252"/>
      <c r="AT2" s="252"/>
      <c r="AU2" s="252"/>
    </row>
    <row r="3" spans="1:47" s="1" customFormat="1" ht="21" x14ac:dyDescent="0.2">
      <c r="A3" s="127" t="s">
        <v>53</v>
      </c>
      <c r="B3" s="124"/>
      <c r="C3" s="125"/>
      <c r="D3" s="10"/>
      <c r="E3" s="247"/>
      <c r="F3" s="11"/>
      <c r="G3" s="12"/>
      <c r="H3" s="247"/>
      <c r="I3" s="11"/>
      <c r="J3" s="13"/>
      <c r="K3" s="13"/>
      <c r="L3" s="5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52"/>
      <c r="AP3" s="252"/>
      <c r="AQ3" s="252"/>
      <c r="AR3" s="252"/>
      <c r="AS3" s="252"/>
      <c r="AT3" s="252"/>
      <c r="AU3" s="252"/>
    </row>
    <row r="4" spans="1:47" ht="6" customHeight="1" x14ac:dyDescent="0.2">
      <c r="A4" s="13"/>
      <c r="B4" s="31"/>
      <c r="C4" s="32"/>
      <c r="D4" s="14"/>
      <c r="E4" s="14"/>
      <c r="F4" s="14"/>
      <c r="G4" s="15"/>
      <c r="H4" s="16"/>
      <c r="I4" s="25"/>
      <c r="K4" s="25"/>
      <c r="AP4" s="25"/>
      <c r="AQ4" s="25"/>
      <c r="AR4" s="25"/>
      <c r="AS4" s="25"/>
      <c r="AT4" s="25"/>
      <c r="AU4" s="25"/>
    </row>
    <row r="5" spans="1:47" ht="18" customHeight="1" x14ac:dyDescent="0.2">
      <c r="A5" s="494" t="s">
        <v>86</v>
      </c>
      <c r="B5" s="495"/>
      <c r="C5" s="248"/>
      <c r="D5" s="248"/>
      <c r="E5" s="248"/>
      <c r="F5" s="249"/>
      <c r="G5" s="25"/>
      <c r="L5" s="5"/>
      <c r="M5" s="25"/>
      <c r="AP5" s="25"/>
      <c r="AQ5" s="25"/>
      <c r="AR5" s="25"/>
      <c r="AS5" s="25"/>
      <c r="AT5" s="25"/>
      <c r="AU5" s="25"/>
    </row>
    <row r="6" spans="1:47" ht="11.25" customHeight="1" x14ac:dyDescent="0.2">
      <c r="A6" s="33"/>
      <c r="B6" s="34"/>
      <c r="C6" s="248"/>
      <c r="D6" s="248"/>
      <c r="E6" s="248"/>
      <c r="F6" s="249"/>
      <c r="G6" s="25"/>
      <c r="L6" s="5"/>
      <c r="M6" s="25"/>
      <c r="AP6" s="25"/>
      <c r="AQ6" s="25"/>
      <c r="AR6" s="25"/>
      <c r="AS6" s="25"/>
      <c r="AT6" s="25"/>
      <c r="AU6" s="25"/>
    </row>
    <row r="7" spans="1:47" s="22" customFormat="1" ht="39.6" customHeight="1" x14ac:dyDescent="0.2">
      <c r="A7" s="17"/>
      <c r="B7" s="23"/>
      <c r="C7" s="496" t="s">
        <v>103</v>
      </c>
      <c r="D7" s="521"/>
      <c r="E7" s="187"/>
      <c r="F7" s="111" t="s">
        <v>55</v>
      </c>
      <c r="G7" s="130"/>
      <c r="H7" s="111" t="s">
        <v>104</v>
      </c>
      <c r="I7" s="130"/>
      <c r="J7" s="164" t="s">
        <v>56</v>
      </c>
      <c r="K7" s="131">
        <f>(G7*I7)/60</f>
        <v>0</v>
      </c>
      <c r="L7" s="24"/>
      <c r="M7"/>
      <c r="N7"/>
      <c r="O7"/>
      <c r="P7"/>
      <c r="Q7" s="18"/>
      <c r="R7" s="18"/>
      <c r="S7" s="18"/>
      <c r="T7" s="18"/>
      <c r="U7" s="18"/>
      <c r="V7" s="18"/>
      <c r="W7" s="19"/>
      <c r="X7" s="19"/>
      <c r="Y7" s="20"/>
      <c r="Z7" s="21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7" x14ac:dyDescent="0.2">
      <c r="A8" s="13"/>
      <c r="B8" s="31"/>
      <c r="C8" s="32"/>
      <c r="D8" s="14"/>
      <c r="E8" s="14"/>
      <c r="F8" s="14"/>
      <c r="G8" s="15"/>
      <c r="H8" s="31"/>
      <c r="I8" s="15"/>
      <c r="J8" s="15"/>
      <c r="K8" s="132"/>
      <c r="L8" s="15"/>
      <c r="AP8" s="25"/>
      <c r="AQ8" s="25"/>
      <c r="AR8" s="25"/>
      <c r="AS8" s="25"/>
      <c r="AT8" s="25"/>
      <c r="AU8" s="25"/>
    </row>
    <row r="9" spans="1:47" s="22" customFormat="1" ht="15.75" hidden="1" x14ac:dyDescent="0.2">
      <c r="A9" s="17"/>
      <c r="B9" s="23"/>
      <c r="C9" s="32"/>
      <c r="D9" s="14"/>
      <c r="E9" s="14"/>
      <c r="F9" s="14"/>
      <c r="G9" s="14"/>
      <c r="L9" s="31"/>
      <c r="M9" s="31"/>
      <c r="N9" s="31"/>
      <c r="O9" s="24"/>
      <c r="P9"/>
      <c r="Q9"/>
      <c r="R9"/>
      <c r="S9"/>
      <c r="T9" s="18"/>
      <c r="U9" s="18"/>
      <c r="V9" s="18"/>
      <c r="W9" s="18"/>
      <c r="X9" s="18"/>
      <c r="Y9" s="18"/>
      <c r="Z9" s="19"/>
      <c r="AA9" s="19"/>
      <c r="AB9" s="20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7" s="22" customFormat="1" ht="15.75" hidden="1" x14ac:dyDescent="0.2">
      <c r="A10" s="17"/>
      <c r="B10" s="23"/>
      <c r="C10" s="496" t="s">
        <v>6</v>
      </c>
      <c r="D10" s="497"/>
      <c r="E10" s="129"/>
      <c r="F10" s="35">
        <f>IF(E10="Yes",60%,60%)</f>
        <v>0.6</v>
      </c>
      <c r="G10" s="31"/>
      <c r="H10" s="24"/>
      <c r="I10" s="24"/>
      <c r="L10" s="16"/>
      <c r="M10" s="31"/>
      <c r="N10" s="31"/>
      <c r="O10" s="24"/>
      <c r="P10"/>
      <c r="Q10"/>
      <c r="R10"/>
      <c r="S10"/>
      <c r="T10" s="18"/>
      <c r="U10" s="18"/>
      <c r="V10" s="18"/>
      <c r="W10" s="18"/>
      <c r="X10" s="18"/>
      <c r="Y10" s="18"/>
      <c r="Z10" s="19"/>
      <c r="AA10" s="19"/>
      <c r="AB10" s="20"/>
      <c r="AC10" s="21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7" s="22" customFormat="1" ht="24" customHeight="1" x14ac:dyDescent="0.2">
      <c r="A11" s="17"/>
      <c r="B11" s="17"/>
      <c r="C11" s="17"/>
      <c r="D11" s="17"/>
      <c r="E11" s="17"/>
      <c r="F11" s="17"/>
      <c r="G11" s="17"/>
      <c r="H11" s="17"/>
      <c r="J11" s="165" t="s">
        <v>58</v>
      </c>
      <c r="K11" s="186" t="e">
        <f>$E$7/$K$7</f>
        <v>#DIV/0!</v>
      </c>
      <c r="L11" s="16"/>
      <c r="M11" s="31"/>
      <c r="N11" s="31"/>
      <c r="O11" s="24"/>
      <c r="P11"/>
      <c r="Q11"/>
      <c r="R11"/>
      <c r="S11"/>
      <c r="T11" s="18"/>
      <c r="U11" s="18"/>
      <c r="V11" s="18"/>
      <c r="W11" s="18"/>
      <c r="X11" s="18"/>
      <c r="Y11" s="18"/>
      <c r="Z11" s="19"/>
      <c r="AA11" s="19"/>
      <c r="AB11" s="20"/>
      <c r="AC11" s="21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7" ht="24.75" customHeight="1" x14ac:dyDescent="0.2">
      <c r="A12" s="29"/>
      <c r="B12" s="23"/>
      <c r="C12" s="496" t="s">
        <v>59</v>
      </c>
      <c r="D12" s="497"/>
      <c r="E12" s="161"/>
      <c r="G12" s="15"/>
      <c r="H12" s="25"/>
      <c r="I12" s="25"/>
      <c r="J12" s="25"/>
      <c r="K12" s="25"/>
      <c r="L12" s="14"/>
      <c r="M12" s="14"/>
      <c r="N12" s="15"/>
      <c r="O12" s="5"/>
      <c r="AP12"/>
      <c r="AQ12"/>
      <c r="AR12"/>
      <c r="AS12" s="25"/>
      <c r="AT12" s="25"/>
      <c r="AU12" s="25"/>
    </row>
    <row r="13" spans="1:47" ht="27" customHeight="1" x14ac:dyDescent="0.2">
      <c r="A13" s="30"/>
      <c r="B13" s="23"/>
      <c r="C13" s="25"/>
      <c r="D13" s="25"/>
      <c r="E13" s="187"/>
      <c r="G13" s="15"/>
      <c r="H13" s="25"/>
      <c r="I13" s="25"/>
      <c r="J13" s="25"/>
      <c r="K13" s="25"/>
      <c r="M13" s="15"/>
      <c r="N13" s="16"/>
      <c r="AP13"/>
      <c r="AQ13"/>
      <c r="AR13"/>
      <c r="AS13"/>
      <c r="AT13"/>
      <c r="AU13"/>
    </row>
    <row r="14" spans="1:47" ht="17.25" customHeight="1" x14ac:dyDescent="0.2">
      <c r="A14" s="25"/>
      <c r="B14"/>
      <c r="E14" s="8"/>
      <c r="F14" s="5"/>
      <c r="G14" s="25"/>
      <c r="K14" s="26"/>
      <c r="L14" s="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ht="31.5" customHeight="1" thickBot="1" x14ac:dyDescent="0.25">
      <c r="A15" s="25"/>
      <c r="B15"/>
      <c r="C15" s="496" t="s">
        <v>105</v>
      </c>
      <c r="D15" s="497"/>
      <c r="E15" s="161"/>
      <c r="F15" s="5"/>
      <c r="G15" s="25"/>
      <c r="I15" s="8"/>
      <c r="K15" s="25"/>
      <c r="L15" s="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</row>
    <row r="16" spans="1:47" ht="23.25" customHeight="1" thickBot="1" x14ac:dyDescent="0.25">
      <c r="A16" s="25"/>
      <c r="B16"/>
      <c r="C16" s="503" t="s">
        <v>106</v>
      </c>
      <c r="D16" s="504"/>
      <c r="E16" s="208">
        <f>C28-E17</f>
        <v>0</v>
      </c>
      <c r="F16" s="5"/>
      <c r="G16" s="25"/>
      <c r="K16" s="26"/>
      <c r="L16" s="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</row>
    <row r="17" spans="1:41" ht="31.15" customHeight="1" x14ac:dyDescent="0.2">
      <c r="A17" s="25"/>
      <c r="B17"/>
      <c r="C17" s="505" t="s">
        <v>107</v>
      </c>
      <c r="D17" s="497"/>
      <c r="E17" s="128"/>
      <c r="F17" s="5"/>
      <c r="G17" s="25"/>
      <c r="K17" s="26"/>
      <c r="L17" s="5"/>
      <c r="AJ17" s="25"/>
      <c r="AK17" s="25"/>
      <c r="AL17" s="25"/>
      <c r="AM17" s="25"/>
      <c r="AN17" s="25"/>
      <c r="AO17" s="25"/>
    </row>
    <row r="18" spans="1:41" ht="17.25" customHeight="1" x14ac:dyDescent="0.2">
      <c r="A18" s="25"/>
      <c r="B18"/>
      <c r="F18" s="5"/>
      <c r="G18" s="25"/>
      <c r="K18" s="26"/>
      <c r="L18" s="5"/>
      <c r="AJ18" s="25"/>
      <c r="AK18" s="25"/>
      <c r="AL18" s="25"/>
      <c r="AM18" s="25"/>
      <c r="AN18" s="25"/>
      <c r="AO18" s="25"/>
    </row>
    <row r="19" spans="1:41" ht="21" customHeight="1" x14ac:dyDescent="0.2">
      <c r="A19" s="507" t="s">
        <v>61</v>
      </c>
      <c r="B19" s="507"/>
      <c r="C19" s="507"/>
      <c r="D19" s="115"/>
      <c r="E19" s="250"/>
      <c r="F19" s="215"/>
      <c r="G19" s="25"/>
      <c r="J19" s="24"/>
      <c r="AN19" s="25"/>
      <c r="AO19" s="25"/>
    </row>
    <row r="20" spans="1:41" ht="13.5" customHeight="1" x14ac:dyDescent="0.2">
      <c r="A20" s="510" t="s">
        <v>108</v>
      </c>
      <c r="B20" s="510"/>
      <c r="C20" s="510"/>
      <c r="D20" s="510"/>
      <c r="E20" s="510"/>
      <c r="F20" s="510"/>
      <c r="G20" s="25"/>
      <c r="K20" s="26"/>
      <c r="L20" s="5"/>
      <c r="AJ20" s="25"/>
      <c r="AK20" s="25"/>
      <c r="AL20" s="25"/>
      <c r="AM20" s="25"/>
      <c r="AN20" s="25"/>
      <c r="AO20" s="25"/>
    </row>
    <row r="21" spans="1:41" s="72" customFormat="1" ht="42" customHeight="1" x14ac:dyDescent="0.2">
      <c r="A21" s="40"/>
      <c r="B21" s="166" t="s">
        <v>109</v>
      </c>
      <c r="C21" s="167" t="s">
        <v>110</v>
      </c>
      <c r="D21" s="168" t="s">
        <v>62</v>
      </c>
      <c r="E21" s="169" t="s">
        <v>111</v>
      </c>
      <c r="F21" s="104" t="s">
        <v>112</v>
      </c>
      <c r="G21" s="166" t="s">
        <v>113</v>
      </c>
      <c r="H21" s="166" t="s">
        <v>114</v>
      </c>
      <c r="I21" s="166" t="s">
        <v>65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</row>
    <row r="22" spans="1:41" s="39" customFormat="1" ht="15.75" x14ac:dyDescent="0.25">
      <c r="A22" s="170" t="s">
        <v>66</v>
      </c>
      <c r="B22" s="134"/>
      <c r="C22" s="129"/>
      <c r="D22" s="129"/>
      <c r="E22" s="135"/>
      <c r="F22" s="192">
        <f t="shared" ref="F22:F27" si="0">DATE(YEAR(E22),(MONTH(E22)+G22),DAY(E22))</f>
        <v>0</v>
      </c>
      <c r="G22" s="136"/>
      <c r="H22" s="136"/>
      <c r="I22" s="13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41" s="39" customFormat="1" ht="18" customHeight="1" x14ac:dyDescent="0.25">
      <c r="A23" s="120" t="s">
        <v>67</v>
      </c>
      <c r="B23" s="134"/>
      <c r="C23" s="129"/>
      <c r="D23" s="129"/>
      <c r="E23" s="135"/>
      <c r="F23" s="192">
        <f t="shared" si="0"/>
        <v>0</v>
      </c>
      <c r="G23" s="136"/>
      <c r="H23" s="136"/>
      <c r="I23" s="1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41" s="39" customFormat="1" ht="18.75" customHeight="1" x14ac:dyDescent="0.25">
      <c r="A24" s="120" t="s">
        <v>68</v>
      </c>
      <c r="B24" s="134"/>
      <c r="C24" s="129"/>
      <c r="D24" s="129"/>
      <c r="E24" s="135"/>
      <c r="F24" s="192">
        <f t="shared" si="0"/>
        <v>0</v>
      </c>
      <c r="G24" s="136"/>
      <c r="H24" s="136"/>
      <c r="I24" s="13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41" s="39" customFormat="1" ht="18" customHeight="1" x14ac:dyDescent="0.25">
      <c r="A25" s="120" t="s">
        <v>69</v>
      </c>
      <c r="B25" s="134"/>
      <c r="C25" s="129"/>
      <c r="D25" s="129"/>
      <c r="E25" s="135"/>
      <c r="F25" s="192">
        <f t="shared" si="0"/>
        <v>0</v>
      </c>
      <c r="G25" s="136"/>
      <c r="H25" s="136"/>
      <c r="I25" s="1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41" s="39" customFormat="1" ht="16.5" customHeight="1" x14ac:dyDescent="0.25">
      <c r="A26" s="120" t="s">
        <v>70</v>
      </c>
      <c r="B26" s="134"/>
      <c r="C26" s="129"/>
      <c r="D26" s="129"/>
      <c r="E26" s="135"/>
      <c r="F26" s="192">
        <f t="shared" si="0"/>
        <v>0</v>
      </c>
      <c r="G26" s="136"/>
      <c r="H26" s="136"/>
      <c r="I26" s="1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41" s="39" customFormat="1" ht="18.75" customHeight="1" thickBot="1" x14ac:dyDescent="0.3">
      <c r="A27" s="120" t="s">
        <v>71</v>
      </c>
      <c r="B27" s="138"/>
      <c r="C27" s="139"/>
      <c r="D27" s="139"/>
      <c r="E27" s="135"/>
      <c r="F27" s="192">
        <f t="shared" si="0"/>
        <v>0</v>
      </c>
      <c r="G27" s="136"/>
      <c r="H27" s="136"/>
      <c r="I27" s="1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41" s="39" customFormat="1" ht="20.25" customHeight="1" thickBot="1" x14ac:dyDescent="0.3">
      <c r="A28" s="453" t="s">
        <v>72</v>
      </c>
      <c r="B28" s="453"/>
      <c r="C28" s="207">
        <f>SUM(C22:C27)</f>
        <v>0</v>
      </c>
      <c r="D28" s="207">
        <f>SUM(D22:D27)</f>
        <v>0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41" s="39" customFormat="1" ht="14.25" customHeight="1" x14ac:dyDescent="0.25">
      <c r="A29" s="43"/>
      <c r="B29" s="44"/>
      <c r="C29" s="45"/>
      <c r="D29" s="45"/>
      <c r="E29" s="45"/>
      <c r="F29" s="45"/>
      <c r="G29" s="46"/>
      <c r="H29" s="46"/>
      <c r="I29" s="47"/>
      <c r="J29" s="48"/>
      <c r="K29" s="48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1" s="39" customFormat="1" ht="25.5" customHeight="1" x14ac:dyDescent="0.25">
      <c r="A30" s="445" t="s">
        <v>73</v>
      </c>
      <c r="B30" s="511"/>
      <c r="C30" s="512"/>
      <c r="D30" s="512"/>
      <c r="E30" s="512"/>
      <c r="F30" s="512"/>
      <c r="G30" s="512"/>
      <c r="H30" s="512"/>
      <c r="I30" s="512"/>
      <c r="J30" s="512"/>
      <c r="K30" s="513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1" s="39" customFormat="1" ht="25.5" customHeight="1" x14ac:dyDescent="0.25">
      <c r="A31" s="446"/>
      <c r="B31" s="514"/>
      <c r="C31" s="515"/>
      <c r="D31" s="515"/>
      <c r="E31" s="515"/>
      <c r="F31" s="515"/>
      <c r="G31" s="515"/>
      <c r="H31" s="515"/>
      <c r="I31" s="515"/>
      <c r="J31" s="515"/>
      <c r="K31" s="51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1" s="39" customFormat="1" ht="15.75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1:41" s="39" customFormat="1" ht="18.75" customHeight="1" x14ac:dyDescent="0.25">
      <c r="A33" s="171" t="s">
        <v>115</v>
      </c>
      <c r="B33" s="172"/>
      <c r="C33" s="173"/>
      <c r="D33" s="174"/>
      <c r="E33" s="50"/>
      <c r="F33" s="58"/>
      <c r="G33" s="56"/>
      <c r="H33" s="56"/>
      <c r="I33" s="56"/>
      <c r="J33" s="56"/>
      <c r="K33" s="56"/>
      <c r="L33" s="5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</row>
    <row r="34" spans="1:41" s="72" customFormat="1" ht="51" x14ac:dyDescent="0.2">
      <c r="A34" s="175"/>
      <c r="B34" s="109" t="s">
        <v>116</v>
      </c>
      <c r="C34" s="109" t="s">
        <v>74</v>
      </c>
      <c r="D34" s="109" t="s">
        <v>117</v>
      </c>
      <c r="E34" s="176" t="s">
        <v>118</v>
      </c>
      <c r="F34" s="176" t="s">
        <v>76</v>
      </c>
      <c r="G34" s="177" t="s">
        <v>62</v>
      </c>
      <c r="H34" s="177" t="s">
        <v>77</v>
      </c>
      <c r="I34" s="109" t="s">
        <v>119</v>
      </c>
      <c r="J34" s="109" t="s">
        <v>120</v>
      </c>
      <c r="K34" s="109" t="s">
        <v>121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</row>
    <row r="35" spans="1:41" s="39" customFormat="1" ht="15.75" x14ac:dyDescent="0.25">
      <c r="A35" s="83"/>
      <c r="B35" s="160" t="s">
        <v>79</v>
      </c>
      <c r="C35" s="178">
        <f>IF($E$42-(E7*A64)&lt;A66,E35,IF((E7*A64)&lt;MIN(E17,G73:G77),ROUND(E7*A64,0),MIN(E17,G73:G77)))</f>
        <v>0</v>
      </c>
      <c r="D35" s="178">
        <f t="shared" ref="D35:D42" si="1">E35-C35</f>
        <v>0</v>
      </c>
      <c r="E35" s="179">
        <f>IF(MAX(G$73:G$77)&lt;E17,MAX(G$73:G$77),(E17))</f>
        <v>0</v>
      </c>
      <c r="F35" s="77" t="e">
        <f t="shared" ref="F35:F41" si="2">(C35+D35)/$E$7</f>
        <v>#DIV/0!</v>
      </c>
      <c r="G35" s="78"/>
      <c r="H35" s="77"/>
      <c r="I35" s="79"/>
      <c r="J35" s="79"/>
      <c r="K35" s="79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</row>
    <row r="36" spans="1:41" s="39" customFormat="1" ht="15.75" x14ac:dyDescent="0.25">
      <c r="A36" s="170" t="s">
        <v>66</v>
      </c>
      <c r="B36" s="76">
        <f>$B$22</f>
        <v>0</v>
      </c>
      <c r="C36" s="178">
        <f>IF(($C$42-$C$35)&gt;0,ROUND((E36/($E$42-$E$35)*($C$42-$C$35)),0),0)</f>
        <v>0</v>
      </c>
      <c r="D36" s="178">
        <f t="shared" si="1"/>
        <v>0</v>
      </c>
      <c r="E36" s="179">
        <f>IF($E$42=0,0,ROUND(((C22/C$28)*E$42)-$E$35,0))</f>
        <v>0</v>
      </c>
      <c r="F36" s="77" t="e">
        <f t="shared" si="2"/>
        <v>#DIV/0!</v>
      </c>
      <c r="G36" s="183">
        <f>$H$48</f>
        <v>0</v>
      </c>
      <c r="H36" s="77" t="e">
        <f t="shared" ref="H36:H41" si="3">G36/E$7</f>
        <v>#DIV/0!</v>
      </c>
      <c r="I36" s="79">
        <f>IF(G22&lt;72,G22,72)</f>
        <v>0</v>
      </c>
      <c r="J36" s="79">
        <f t="shared" ref="J36:J41" si="4">H22</f>
        <v>0</v>
      </c>
      <c r="K36" s="79" t="s">
        <v>122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</row>
    <row r="37" spans="1:41" s="39" customFormat="1" ht="15.75" x14ac:dyDescent="0.25">
      <c r="A37" s="120" t="s">
        <v>67</v>
      </c>
      <c r="B37" s="76">
        <f>$B$23</f>
        <v>0</v>
      </c>
      <c r="C37" s="178">
        <f t="shared" ref="C37:C41" si="5">IF(($C$42-$C$35)&gt;0,ROUND((E37/($E$42-$E$35)*($C$42-$C$35)),0),0)</f>
        <v>0</v>
      </c>
      <c r="D37" s="178">
        <f t="shared" si="1"/>
        <v>0</v>
      </c>
      <c r="E37" s="179">
        <f>IF($E$42&gt;0,ROUND(+C23/C$28*E$42,0),0)</f>
        <v>0</v>
      </c>
      <c r="F37" s="77" t="e">
        <f t="shared" si="2"/>
        <v>#DIV/0!</v>
      </c>
      <c r="G37" s="183">
        <f>$H$50</f>
        <v>0</v>
      </c>
      <c r="H37" s="77" t="e">
        <f t="shared" si="3"/>
        <v>#DIV/0!</v>
      </c>
      <c r="I37" s="80">
        <f>IF(G23=0,0,IF(G23&lt;F50,G23,$F$50))</f>
        <v>0</v>
      </c>
      <c r="J37" s="79">
        <f t="shared" si="4"/>
        <v>0</v>
      </c>
      <c r="K37" s="192">
        <f>IF(E23&gt;DATE(YEAR(E$22),MONTH(E$22)+J36,DAY(E$22)),E23,DATE(YEAR(E$22),MONTH(E$22)+J36,DAY(E$22)))</f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</row>
    <row r="38" spans="1:41" s="39" customFormat="1" ht="15.75" x14ac:dyDescent="0.25">
      <c r="A38" s="120" t="s">
        <v>68</v>
      </c>
      <c r="B38" s="76">
        <f>$B$24</f>
        <v>0</v>
      </c>
      <c r="C38" s="178">
        <f t="shared" si="5"/>
        <v>0</v>
      </c>
      <c r="D38" s="178">
        <f t="shared" si="1"/>
        <v>0</v>
      </c>
      <c r="E38" s="179">
        <f>IF($E$42&gt;0,ROUND(+C24/C$28*E$42,0),0)</f>
        <v>0</v>
      </c>
      <c r="F38" s="77" t="e">
        <f t="shared" si="2"/>
        <v>#DIV/0!</v>
      </c>
      <c r="G38" s="183">
        <f>$H$52</f>
        <v>0</v>
      </c>
      <c r="H38" s="77" t="e">
        <f t="shared" si="3"/>
        <v>#DIV/0!</v>
      </c>
      <c r="I38" s="80">
        <f>IF(G24=0,0,IF(G24&lt;F52,G24,$F$52))</f>
        <v>0</v>
      </c>
      <c r="J38" s="79">
        <f t="shared" si="4"/>
        <v>0</v>
      </c>
      <c r="K38" s="192">
        <f>IF(E24&gt;DATE(YEAR(E$22),MONTH(E$22)+J36+J37,DAY(E$22)),E24,DATE(YEAR(E$22),MONTH(E$22)+J36+J$37,DAY(E$22)))</f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</row>
    <row r="39" spans="1:41" s="39" customFormat="1" ht="15.75" customHeight="1" x14ac:dyDescent="0.25">
      <c r="A39" s="120" t="s">
        <v>69</v>
      </c>
      <c r="B39" s="76">
        <f>$B$25</f>
        <v>0</v>
      </c>
      <c r="C39" s="178">
        <f>IF(($C$42-$C$35)&gt;0,ROUND((E39/($E$42-$E$35)*($C$42-$C$35)),0),0)</f>
        <v>0</v>
      </c>
      <c r="D39" s="178">
        <f t="shared" si="1"/>
        <v>0</v>
      </c>
      <c r="E39" s="179">
        <f>IF($E$42&gt;0,ROUND(+C25/C$28*E$42,0),0)</f>
        <v>0</v>
      </c>
      <c r="F39" s="77" t="e">
        <f t="shared" si="2"/>
        <v>#DIV/0!</v>
      </c>
      <c r="G39" s="183">
        <f>$H$54</f>
        <v>0</v>
      </c>
      <c r="H39" s="77" t="e">
        <f t="shared" si="3"/>
        <v>#DIV/0!</v>
      </c>
      <c r="I39" s="80">
        <f>IF(G25=0,0,IF(G25&lt;F54,G25,$F$54))</f>
        <v>0</v>
      </c>
      <c r="J39" s="79">
        <f t="shared" si="4"/>
        <v>0</v>
      </c>
      <c r="K39" s="192">
        <f>IF(E25&gt;DATE(YEAR(E$22),MONTH(E$22)+J$36+J$37+J38,DAY(E$22)),E25,DATE(YEAR(E$22),MONTH(E$22)+J$36+J$37+J38,DAY(E$22)))</f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</row>
    <row r="40" spans="1:41" s="39" customFormat="1" ht="15.75" x14ac:dyDescent="0.25">
      <c r="A40" s="120" t="s">
        <v>70</v>
      </c>
      <c r="B40" s="76">
        <f>$B$26</f>
        <v>0</v>
      </c>
      <c r="C40" s="178">
        <f t="shared" si="5"/>
        <v>0</v>
      </c>
      <c r="D40" s="178">
        <f t="shared" si="1"/>
        <v>0</v>
      </c>
      <c r="E40" s="179">
        <f>IF($E$42&gt;0,ROUND(+C26/C$28*E$42,0),0)</f>
        <v>0</v>
      </c>
      <c r="F40" s="77" t="e">
        <f t="shared" si="2"/>
        <v>#DIV/0!</v>
      </c>
      <c r="G40" s="183">
        <f>$H$56</f>
        <v>0</v>
      </c>
      <c r="H40" s="77" t="e">
        <f t="shared" si="3"/>
        <v>#DIV/0!</v>
      </c>
      <c r="I40" s="80">
        <f>IF(G26=0,0,IF(G26&lt;F56,G26,$F$56))</f>
        <v>0</v>
      </c>
      <c r="J40" s="79">
        <f t="shared" si="4"/>
        <v>0</v>
      </c>
      <c r="K40" s="192">
        <f>IF(E26&gt;DATE(YEAR(E$22),MONTH(E$22)+J$36+J$37+J38+J39,DAY(E$22)),E26,DATE(YEAR(E$22),MONTH(E$22)+J$36+J$37+J38+J39,DAY(E$22)))</f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</row>
    <row r="41" spans="1:41" s="39" customFormat="1" ht="16.5" thickBot="1" x14ac:dyDescent="0.3">
      <c r="A41" s="120" t="s">
        <v>71</v>
      </c>
      <c r="B41" s="82">
        <f>$B$27</f>
        <v>0</v>
      </c>
      <c r="C41" s="178">
        <f t="shared" si="5"/>
        <v>0</v>
      </c>
      <c r="D41" s="180">
        <f t="shared" si="1"/>
        <v>0</v>
      </c>
      <c r="E41" s="181">
        <f>IF($E$42&gt;0,ROUND(+C27/C$28*E$42,0),0)</f>
        <v>0</v>
      </c>
      <c r="F41" s="141" t="e">
        <f t="shared" si="2"/>
        <v>#DIV/0!</v>
      </c>
      <c r="G41" s="184">
        <f>$H$58</f>
        <v>0</v>
      </c>
      <c r="H41" s="141" t="e">
        <f t="shared" si="3"/>
        <v>#DIV/0!</v>
      </c>
      <c r="I41" s="80">
        <f>IF(G27=0,0,IF(G27&lt;F58,G27,$F$58))</f>
        <v>0</v>
      </c>
      <c r="J41" s="79">
        <f t="shared" si="4"/>
        <v>0</v>
      </c>
      <c r="K41" s="192">
        <f>IF(E27&gt;DATE(YEAR(E$22),MONTH(E$22)+J$36+J$37+J38+J39+J40,DAY(E$22)),E27,DATE(YEAR(E$22),MONTH(E$22)+J$36+J$37+J38+J39+J40,DAY(E$22)))</f>
        <v>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</row>
    <row r="42" spans="1:41" s="42" customFormat="1" ht="20.100000000000001" customHeight="1" thickBot="1" x14ac:dyDescent="0.25">
      <c r="A42" s="87"/>
      <c r="B42" s="140" t="s">
        <v>123</v>
      </c>
      <c r="C42" s="182">
        <f>IF(E42-(E7*A64)&lt;A66,E42,IF((E$7*A64)&lt;E42,ROUND(E$7*A64,0),E42))</f>
        <v>0</v>
      </c>
      <c r="D42" s="182">
        <f t="shared" si="1"/>
        <v>0</v>
      </c>
      <c r="E42" s="182">
        <f>IF(MAX(D$73:D$77)&lt;(C28),MIN(MAX(D$73:D$77)-E35-E43,E16)+E35,MIN(C28-E35,E16)+E35)</f>
        <v>0</v>
      </c>
      <c r="F42" s="142" t="e">
        <f>SUM(F35:F41)</f>
        <v>#DIV/0!</v>
      </c>
      <c r="G42" s="185">
        <f>SUM(G36:G41)</f>
        <v>0</v>
      </c>
      <c r="H42" s="142" t="e">
        <f>SUM(H36:H41)</f>
        <v>#DIV/0!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</row>
    <row r="43" spans="1:41" s="39" customFormat="1" ht="24.95" customHeight="1" x14ac:dyDescent="0.25">
      <c r="C43" s="517" t="str">
        <f>IF($E$12="Yes",IF(#REF!=1,#REF!,IF(#REF!=2,#REF!,IF(#REF!=3,I63,IF(#REF!=4,I64,"Error")))),"Mesure incitative")</f>
        <v>Mesure incitative</v>
      </c>
      <c r="D43" s="518"/>
      <c r="E43" s="188">
        <f>IF(E12="Oui",MIN(E13,MAX(M73:M75)),0)</f>
        <v>0</v>
      </c>
      <c r="F43" s="189" t="e">
        <f>E43/$E$7</f>
        <v>#DIV/0!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41" s="39" customFormat="1" ht="10.5" hidden="1" customHeight="1" x14ac:dyDescent="0.25">
      <c r="F44" s="74"/>
      <c r="G44" s="74"/>
      <c r="H44" s="57"/>
      <c r="I44" s="57"/>
      <c r="J44" s="57"/>
      <c r="K44" s="57"/>
      <c r="L44" s="5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</row>
    <row r="45" spans="1:41" s="39" customFormat="1" ht="14.25" customHeight="1" x14ac:dyDescent="0.25">
      <c r="A45" s="114" t="s">
        <v>124</v>
      </c>
      <c r="B45" s="75"/>
      <c r="C45" s="75"/>
      <c r="D45" s="75"/>
      <c r="J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</row>
    <row r="46" spans="1:41" s="39" customFormat="1" ht="21" customHeight="1" x14ac:dyDescent="0.25">
      <c r="J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</row>
    <row r="47" spans="1:41" s="39" customFormat="1" ht="18.75" customHeight="1" x14ac:dyDescent="0.25">
      <c r="A47" s="52" t="s">
        <v>80</v>
      </c>
      <c r="B47" s="53"/>
      <c r="I47" s="37"/>
      <c r="J47" s="37"/>
      <c r="K47" s="56"/>
      <c r="L47" s="51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48" spans="1:41" s="38" customFormat="1" ht="34.15" customHeight="1" x14ac:dyDescent="0.25">
      <c r="A48" s="170" t="s">
        <v>66</v>
      </c>
      <c r="B48" s="190">
        <f>D$22</f>
        <v>0</v>
      </c>
      <c r="C48" s="86" t="s">
        <v>30</v>
      </c>
      <c r="D48" s="143">
        <f>$G$22</f>
        <v>0</v>
      </c>
      <c r="E48" s="86" t="s">
        <v>31</v>
      </c>
      <c r="F48" s="143">
        <v>72</v>
      </c>
      <c r="G48" s="86" t="s">
        <v>32</v>
      </c>
      <c r="H48" s="190">
        <f>IF(G22&lt;72,B48,(B48/D48)*F48)</f>
        <v>0</v>
      </c>
      <c r="I48" s="519" t="s">
        <v>81</v>
      </c>
      <c r="J48" s="520"/>
      <c r="K48" s="191">
        <f>DATE(YEAR(E22),MONTH(E22)+72,DAY(E22))</f>
        <v>2192</v>
      </c>
      <c r="L48" s="51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</row>
    <row r="49" spans="1:41" s="39" customFormat="1" ht="25.5" x14ac:dyDescent="0.25">
      <c r="A49" s="119"/>
      <c r="B49" s="147" t="s">
        <v>82</v>
      </c>
      <c r="C49" s="145"/>
      <c r="D49" s="145" t="s">
        <v>83</v>
      </c>
      <c r="E49" s="146"/>
      <c r="F49" s="145" t="s">
        <v>84</v>
      </c>
      <c r="G49" s="146"/>
      <c r="H49" s="147" t="s">
        <v>85</v>
      </c>
      <c r="I49" s="87"/>
      <c r="J49" s="87"/>
      <c r="K49" s="88"/>
      <c r="L49" s="51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</row>
    <row r="50" spans="1:41" s="39" customFormat="1" ht="20.25" customHeight="1" x14ac:dyDescent="0.25">
      <c r="A50" s="120" t="s">
        <v>67</v>
      </c>
      <c r="B50" s="190">
        <f>$D$23</f>
        <v>0</v>
      </c>
      <c r="C50" s="86" t="s">
        <v>30</v>
      </c>
      <c r="D50" s="143">
        <f>$G$23</f>
        <v>0</v>
      </c>
      <c r="E50" s="86" t="s">
        <v>31</v>
      </c>
      <c r="F50" s="144">
        <f>IF((YEAR(K$48)-YEAR(K37))*12+MONTH(K$48)-MONTH(K37)&lt;0,0,(YEAR(K$48)-YEAR(K37))*12+MONTH(K$48)-MONTH(K37))</f>
        <v>71</v>
      </c>
      <c r="G50" s="86" t="s">
        <v>32</v>
      </c>
      <c r="H50" s="190">
        <f>IF(D23=0,0,IF(D50&lt;F50,B50,(B50/D50)*F50))</f>
        <v>0</v>
      </c>
      <c r="I50" s="89"/>
      <c r="J50" s="89"/>
      <c r="K50" s="90"/>
      <c r="L50" s="51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</row>
    <row r="51" spans="1:41" s="39" customFormat="1" ht="25.5" x14ac:dyDescent="0.25">
      <c r="A51" s="121"/>
      <c r="B51" s="147" t="s">
        <v>82</v>
      </c>
      <c r="C51" s="145"/>
      <c r="D51" s="145" t="s">
        <v>83</v>
      </c>
      <c r="E51" s="146"/>
      <c r="F51" s="145" t="s">
        <v>84</v>
      </c>
      <c r="G51" s="146"/>
      <c r="H51" s="147" t="s">
        <v>85</v>
      </c>
      <c r="I51" s="87"/>
      <c r="J51" s="87"/>
      <c r="K51" s="88"/>
      <c r="L51" s="51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</row>
    <row r="52" spans="1:41" s="39" customFormat="1" ht="17.25" customHeight="1" x14ac:dyDescent="0.25">
      <c r="A52" s="120" t="s">
        <v>68</v>
      </c>
      <c r="B52" s="190">
        <f>$D$24</f>
        <v>0</v>
      </c>
      <c r="C52" s="86" t="s">
        <v>30</v>
      </c>
      <c r="D52" s="143">
        <f>$G$24</f>
        <v>0</v>
      </c>
      <c r="E52" s="86" t="s">
        <v>31</v>
      </c>
      <c r="F52" s="144">
        <f>IF((YEAR(K$48)-YEAR(K38))*12+MONTH(K$48)-MONTH(K38)&lt;0,0,(YEAR(K$48)-YEAR(K38))*12+MONTH(K$48)-MONTH(K38))</f>
        <v>71</v>
      </c>
      <c r="G52" s="86" t="s">
        <v>32</v>
      </c>
      <c r="H52" s="190">
        <f>IF(D24=0,0,IF(D52&lt;F52,B52,(B52/D52)*F52))</f>
        <v>0</v>
      </c>
      <c r="I52" s="89"/>
      <c r="J52" s="89"/>
      <c r="K52" s="90"/>
      <c r="L52" s="51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</row>
    <row r="53" spans="1:41" s="39" customFormat="1" ht="25.5" x14ac:dyDescent="0.25">
      <c r="A53" s="122"/>
      <c r="B53" s="147" t="s">
        <v>82</v>
      </c>
      <c r="C53" s="145"/>
      <c r="D53" s="145" t="s">
        <v>83</v>
      </c>
      <c r="E53" s="146"/>
      <c r="F53" s="145" t="s">
        <v>84</v>
      </c>
      <c r="G53" s="146"/>
      <c r="H53" s="147" t="s">
        <v>85</v>
      </c>
      <c r="I53" s="87"/>
      <c r="J53" s="87"/>
      <c r="K53" s="88"/>
      <c r="L53" s="51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</row>
    <row r="54" spans="1:41" s="39" customFormat="1" ht="15.75" x14ac:dyDescent="0.25">
      <c r="A54" s="120" t="s">
        <v>69</v>
      </c>
      <c r="B54" s="190">
        <f>$D$25</f>
        <v>0</v>
      </c>
      <c r="C54" s="86" t="s">
        <v>30</v>
      </c>
      <c r="D54" s="144">
        <f>$G$25</f>
        <v>0</v>
      </c>
      <c r="E54" s="86" t="s">
        <v>31</v>
      </c>
      <c r="F54" s="144">
        <f>IF((YEAR(K$48)-YEAR(K39))*12+MONTH(K$48)-MONTH(K39)&lt;0,0,(YEAR(K$48)-YEAR(K39))*12+MONTH(K$48)-MONTH(K39))</f>
        <v>71</v>
      </c>
      <c r="G54" s="86" t="s">
        <v>32</v>
      </c>
      <c r="H54" s="190">
        <f>IF(D25=0,0,IF(D54&lt;F54,B54,(B54/D54)*F54))</f>
        <v>0</v>
      </c>
      <c r="I54" s="89"/>
      <c r="J54" s="89"/>
      <c r="K54" s="90"/>
      <c r="L54" s="51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</row>
    <row r="55" spans="1:41" s="39" customFormat="1" ht="25.5" x14ac:dyDescent="0.25">
      <c r="A55" s="119"/>
      <c r="B55" s="147" t="s">
        <v>82</v>
      </c>
      <c r="C55" s="145"/>
      <c r="D55" s="145" t="s">
        <v>83</v>
      </c>
      <c r="E55" s="146"/>
      <c r="F55" s="145" t="s">
        <v>84</v>
      </c>
      <c r="G55" s="146"/>
      <c r="H55" s="147" t="s">
        <v>85</v>
      </c>
      <c r="I55" s="87"/>
      <c r="J55" s="87"/>
      <c r="K55" s="88"/>
      <c r="L55" s="51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</row>
    <row r="56" spans="1:41" s="39" customFormat="1" ht="15.75" x14ac:dyDescent="0.25">
      <c r="A56" s="120" t="s">
        <v>70</v>
      </c>
      <c r="B56" s="190">
        <f>$D$26</f>
        <v>0</v>
      </c>
      <c r="C56" s="86" t="s">
        <v>30</v>
      </c>
      <c r="D56" s="144">
        <f>$G$26</f>
        <v>0</v>
      </c>
      <c r="E56" s="86" t="s">
        <v>31</v>
      </c>
      <c r="F56" s="144">
        <f>IF((YEAR(K$48)-YEAR(K40))*12+MONTH(K$48)-MONTH(K40)&lt;0,0,(YEAR(K$48)-YEAR(K40))*12+MONTH(K$48)-MONTH(K40))</f>
        <v>71</v>
      </c>
      <c r="G56" s="86" t="s">
        <v>32</v>
      </c>
      <c r="H56" s="190">
        <f>IF(D26=0,0,IF(D56&lt;F56,B56,(B56/D56)*F56))</f>
        <v>0</v>
      </c>
      <c r="I56" s="89"/>
      <c r="J56" s="89"/>
      <c r="K56" s="90"/>
      <c r="L56" s="51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1:41" s="39" customFormat="1" ht="25.5" x14ac:dyDescent="0.25">
      <c r="A57" s="121"/>
      <c r="B57" s="147" t="s">
        <v>82</v>
      </c>
      <c r="C57" s="145"/>
      <c r="D57" s="145" t="s">
        <v>83</v>
      </c>
      <c r="E57" s="146"/>
      <c r="F57" s="145" t="s">
        <v>84</v>
      </c>
      <c r="G57" s="146"/>
      <c r="H57" s="147" t="s">
        <v>85</v>
      </c>
      <c r="I57" s="87"/>
      <c r="J57" s="87"/>
      <c r="K57" s="88"/>
      <c r="L57" s="51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</row>
    <row r="58" spans="1:41" s="39" customFormat="1" ht="15.75" x14ac:dyDescent="0.25">
      <c r="A58" s="120" t="s">
        <v>71</v>
      </c>
      <c r="B58" s="190">
        <f>$D$27</f>
        <v>0</v>
      </c>
      <c r="C58" s="86" t="s">
        <v>30</v>
      </c>
      <c r="D58" s="144">
        <f>$G$27</f>
        <v>0</v>
      </c>
      <c r="E58" s="86" t="s">
        <v>31</v>
      </c>
      <c r="F58" s="144">
        <f>IF((YEAR(K$48)-YEAR(K41))*12+MONTH(K$48)-MONTH(K41)&lt;0,0,(YEAR(K$48)-YEAR(K41))*12+MONTH(K$48)-MONTH(K41))</f>
        <v>71</v>
      </c>
      <c r="G58" s="86" t="s">
        <v>32</v>
      </c>
      <c r="H58" s="190">
        <f>IF(D27=0,0,IF(D58&lt;F58,B58,(B58/D58)*F58))</f>
        <v>0</v>
      </c>
      <c r="I58" s="89"/>
      <c r="J58" s="89"/>
      <c r="K58" s="90"/>
      <c r="L58" s="51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</row>
    <row r="59" spans="1:41" s="39" customFormat="1" ht="25.5" x14ac:dyDescent="0.25">
      <c r="A59" s="84"/>
      <c r="B59" s="193" t="s">
        <v>82</v>
      </c>
      <c r="C59" s="91"/>
      <c r="D59" s="91" t="s">
        <v>83</v>
      </c>
      <c r="E59" s="86"/>
      <c r="F59" s="91" t="s">
        <v>84</v>
      </c>
      <c r="G59" s="86"/>
      <c r="H59" s="193" t="s">
        <v>85</v>
      </c>
      <c r="I59" s="89"/>
      <c r="J59" s="89"/>
      <c r="K59" s="90"/>
      <c r="L59" s="51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</row>
    <row r="60" spans="1:41" s="39" customFormat="1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</row>
    <row r="61" spans="1:41" s="39" customFormat="1" ht="21" customHeight="1" x14ac:dyDescent="0.25">
      <c r="A61" s="194" t="s">
        <v>125</v>
      </c>
      <c r="B61" s="60"/>
      <c r="C61" s="60"/>
      <c r="D61" s="195"/>
      <c r="E61" s="195"/>
      <c r="F61" s="195"/>
      <c r="G61" s="51"/>
      <c r="H61" s="51"/>
      <c r="I61" s="37"/>
      <c r="J61" s="37"/>
      <c r="K61" s="37"/>
      <c r="L61" s="51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41" s="39" customFormat="1" ht="53.25" customHeight="1" x14ac:dyDescent="0.25">
      <c r="A62" s="61">
        <v>6</v>
      </c>
      <c r="B62" s="109" t="s">
        <v>86</v>
      </c>
      <c r="C62" s="196" t="s">
        <v>87</v>
      </c>
      <c r="D62" s="196" t="s">
        <v>88</v>
      </c>
      <c r="E62" s="159" t="s">
        <v>89</v>
      </c>
      <c r="F62" s="158" t="s">
        <v>126</v>
      </c>
      <c r="G62" s="61">
        <v>2</v>
      </c>
      <c r="H62" s="61"/>
      <c r="I62" s="92"/>
      <c r="J62" s="92"/>
      <c r="K62" s="92"/>
      <c r="L62" s="51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1:41" s="38" customFormat="1" ht="15.75" x14ac:dyDescent="0.25">
      <c r="A63" s="61">
        <v>30</v>
      </c>
      <c r="B63" s="95" t="s">
        <v>91</v>
      </c>
      <c r="C63" s="96"/>
      <c r="D63" s="96"/>
      <c r="E63" s="96"/>
      <c r="F63" s="96"/>
      <c r="G63" s="62"/>
      <c r="H63" s="62" t="s">
        <v>42</v>
      </c>
      <c r="I63" s="493" t="s">
        <v>127</v>
      </c>
      <c r="J63" s="493"/>
      <c r="K63" s="92"/>
      <c r="L63" s="51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1:41" s="38" customFormat="1" ht="15.75" x14ac:dyDescent="0.25">
      <c r="A64" s="62">
        <f>IF(AND($A$62&gt;=5,$A$62&lt;7),0.4,0.2)</f>
        <v>0.4</v>
      </c>
      <c r="B64" s="110" t="s">
        <v>128</v>
      </c>
      <c r="C64" s="94">
        <v>0.1</v>
      </c>
      <c r="D64" s="190" t="str">
        <f>IF(A$62=2,$E$7*C64,"S/O")</f>
        <v>S/O</v>
      </c>
      <c r="E64" s="149" t="str">
        <f>IF(A$62=2,IF(D64&gt;G$42,"Non","Oui"),"S/O")</f>
        <v>S/O</v>
      </c>
      <c r="F64" s="190" t="str">
        <f>IF(E64="S/O","S/O",G$42-D64)</f>
        <v>S/O</v>
      </c>
      <c r="G64" s="93"/>
      <c r="H64" s="61" t="s">
        <v>7</v>
      </c>
      <c r="I64" s="209" t="s">
        <v>129</v>
      </c>
      <c r="J64" s="92"/>
      <c r="K64" s="92"/>
      <c r="L64" s="51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1:49" s="38" customFormat="1" ht="15.75" x14ac:dyDescent="0.25">
      <c r="A65" s="61">
        <v>5</v>
      </c>
      <c r="B65" s="110" t="s">
        <v>93</v>
      </c>
      <c r="C65" s="94">
        <v>0.1</v>
      </c>
      <c r="D65" s="190" t="str">
        <f>IF(A$62=3,$E$7*C65,"S/O")</f>
        <v>S/O</v>
      </c>
      <c r="E65" s="149" t="str">
        <f>IF(A$62=3,IF(D65&gt;G$42,"Non","Oui"),"S/O")</f>
        <v>S/O</v>
      </c>
      <c r="F65" s="190" t="str">
        <f>IF(E65="S/O","S/O",G$42-D65)</f>
        <v>S/O</v>
      </c>
      <c r="G65" s="93">
        <v>3</v>
      </c>
      <c r="H65" s="61" t="s">
        <v>45</v>
      </c>
      <c r="I65" s="209" t="s">
        <v>130</v>
      </c>
      <c r="J65" s="92"/>
      <c r="K65" s="92"/>
      <c r="L65" s="51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1:49" s="38" customFormat="1" ht="19.899999999999999" customHeight="1" x14ac:dyDescent="0.25">
      <c r="A66" s="93">
        <v>100000</v>
      </c>
      <c r="B66" s="95" t="s">
        <v>95</v>
      </c>
      <c r="C66" s="95"/>
      <c r="D66" s="96"/>
      <c r="E66" s="96"/>
      <c r="F66" s="96"/>
      <c r="G66" s="62">
        <v>3</v>
      </c>
      <c r="H66" s="62" t="s">
        <v>57</v>
      </c>
      <c r="I66" s="209" t="s">
        <v>131</v>
      </c>
      <c r="J66" s="92"/>
      <c r="K66" s="92"/>
      <c r="L66" s="63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</row>
    <row r="67" spans="1:49" s="65" customFormat="1" ht="15.75" x14ac:dyDescent="0.25">
      <c r="A67" s="61">
        <v>60</v>
      </c>
      <c r="B67" s="110" t="s">
        <v>96</v>
      </c>
      <c r="C67" s="94">
        <v>0.1</v>
      </c>
      <c r="D67" s="190" t="str">
        <f>IF(A$62=5,$E$7*C67,"S/O")</f>
        <v>S/O</v>
      </c>
      <c r="E67" s="149" t="str">
        <f>IF(A$62=5,IF(D67&gt;G$42,"Non","Oui"),"S/O")</f>
        <v>S/O</v>
      </c>
      <c r="F67" s="190" t="str">
        <f>IF(E67="S/O","S/O",G$42-D67)</f>
        <v>S/O</v>
      </c>
      <c r="G67" s="62"/>
      <c r="H67" s="62" t="s">
        <v>97</v>
      </c>
      <c r="I67" s="97"/>
      <c r="J67" s="97"/>
      <c r="K67" s="97"/>
      <c r="L67" s="51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</row>
    <row r="68" spans="1:49" s="39" customFormat="1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1:49" s="38" customFormat="1" ht="18" customHeight="1" x14ac:dyDescent="0.25">
      <c r="C69" s="68"/>
      <c r="D69" s="68"/>
      <c r="E69" s="68"/>
      <c r="F69" s="68"/>
      <c r="G69" s="68"/>
      <c r="H69" s="68"/>
      <c r="I69" s="51"/>
      <c r="J69" s="51"/>
      <c r="K69" s="51"/>
      <c r="L69" s="26"/>
      <c r="M69" s="51"/>
      <c r="N69" s="51"/>
      <c r="P69" s="51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</row>
    <row r="70" spans="1:49" s="27" customFormat="1" ht="23.25" customHeight="1" x14ac:dyDescent="0.2">
      <c r="A70" s="508" t="s">
        <v>98</v>
      </c>
      <c r="B70" s="508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49" s="27" customFormat="1" ht="27" customHeight="1" x14ac:dyDescent="0.2">
      <c r="A71" s="98"/>
      <c r="B71" s="98"/>
      <c r="C71" s="157"/>
      <c r="D71" s="501" t="s">
        <v>132</v>
      </c>
      <c r="E71" s="501"/>
      <c r="F71" s="502"/>
      <c r="G71" s="487" t="s">
        <v>133</v>
      </c>
      <c r="H71" s="488"/>
      <c r="I71" s="489"/>
      <c r="J71" s="490" t="s">
        <v>134</v>
      </c>
      <c r="K71" s="491"/>
      <c r="L71" s="492"/>
      <c r="M71" s="484" t="s">
        <v>135</v>
      </c>
      <c r="N71" s="485"/>
      <c r="O71" s="48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1:49" s="108" customFormat="1" ht="48" customHeight="1" x14ac:dyDescent="0.25">
      <c r="A72" s="105"/>
      <c r="B72" s="418" t="s">
        <v>38</v>
      </c>
      <c r="C72" s="419"/>
      <c r="D72" s="201" t="s">
        <v>136</v>
      </c>
      <c r="E72" s="202" t="s">
        <v>99</v>
      </c>
      <c r="F72" s="202" t="s">
        <v>100</v>
      </c>
      <c r="G72" s="176" t="s">
        <v>137</v>
      </c>
      <c r="H72" s="199" t="s">
        <v>99</v>
      </c>
      <c r="I72" s="199" t="s">
        <v>100</v>
      </c>
      <c r="J72" s="203" t="s">
        <v>138</v>
      </c>
      <c r="K72" s="204" t="s">
        <v>99</v>
      </c>
      <c r="L72" s="204" t="s">
        <v>100</v>
      </c>
      <c r="M72" s="205" t="s">
        <v>139</v>
      </c>
      <c r="N72" s="200" t="s">
        <v>99</v>
      </c>
      <c r="O72" s="200" t="s">
        <v>100</v>
      </c>
      <c r="P72" s="73"/>
      <c r="Q72" s="106"/>
      <c r="R72" s="106"/>
      <c r="S72" s="107"/>
      <c r="T72" s="106"/>
      <c r="U72" s="106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</row>
    <row r="73" spans="1:49" s="39" customFormat="1" ht="33" customHeight="1" x14ac:dyDescent="0.25">
      <c r="A73" s="99"/>
      <c r="B73" s="120" t="str">
        <f t="shared" ref="B73:B77" si="6">B63</f>
        <v xml:space="preserve">     * AUTOCHTONE *</v>
      </c>
      <c r="C73" s="151"/>
      <c r="D73" s="153"/>
      <c r="E73" s="151"/>
      <c r="F73" s="151"/>
      <c r="G73" s="152"/>
      <c r="H73" s="151"/>
      <c r="I73" s="151"/>
      <c r="J73" s="152"/>
      <c r="K73" s="151"/>
      <c r="L73" s="151"/>
      <c r="M73" s="41"/>
      <c r="N73" s="41"/>
      <c r="O73" s="100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1:49" s="39" customFormat="1" ht="64.150000000000006" customHeight="1" x14ac:dyDescent="0.25">
      <c r="A74" s="99"/>
      <c r="B74" s="85" t="str">
        <f t="shared" si="6"/>
        <v xml:space="preserve">Dramatique ou Animation </v>
      </c>
      <c r="C74" s="198" t="s">
        <v>140</v>
      </c>
      <c r="D74" s="190" t="str">
        <f>IF(A$62=2,IF($E$15&lt;&gt;"Oui",IF($E$12&lt;&gt;"Oui",G74,MIN(G74+M74,ROUND(0.84*$E$7,0))),IF($E$12&lt;&gt;"Oui",MIN((G74+J74),ROUND((0.84*$E$7),0)),MIN((G74+J74+M74),ROUND((0.84*$E$7),0)))),"S/O")</f>
        <v>S/O</v>
      </c>
      <c r="E74" s="150" t="str">
        <f>IF($A$62=5,IF($C$28&gt;D74,"Non","Oui"), "S/O")</f>
        <v>S/O</v>
      </c>
      <c r="F74" s="148" t="str">
        <f>IF(E74="Non",$C$28-D74,"S/O")</f>
        <v>S/O</v>
      </c>
      <c r="G74" s="190" t="str">
        <f>IF(A$62=2,IF((0.6*$E$7)&lt;750000,ROUND((0.6*$E$7),0),750000),"S/O")</f>
        <v>S/O</v>
      </c>
      <c r="H74" s="150" t="str">
        <f>IF($A$62=2,IF($E$17&gt;G74,"Non","Oui"), "S/O")</f>
        <v>S/O</v>
      </c>
      <c r="I74" s="190" t="str">
        <f>IF(H74="Non",$E$17-G74,"S/O")</f>
        <v>S/O</v>
      </c>
      <c r="J74" s="197" t="str">
        <f>IF($A$62=2,IF($E$15="Oui",IF(A65=4,ROUND(($F$10*$E$7),0)-$E$43,ROUND(($F$10*$E$7),0)),"S/O"),"S/O")</f>
        <v>S/O</v>
      </c>
      <c r="K74" s="150" t="str">
        <f>IF(J74="S/O","S/O",IF($A$62=2,IF($E$16&gt;J74,"Non","Oui"), "S/O"))</f>
        <v>S/O</v>
      </c>
      <c r="L74" s="148" t="str">
        <f>IF(K74="Non",$E$16-J74,"S/O")</f>
        <v>S/O</v>
      </c>
      <c r="M74" s="197" t="str">
        <f>IF(A62=2,IF($E$12="Oui",IF(A65=1,MIN(ROUND(0.15*$E$7,0),1000000),IF(A65=2,MIN(ROUND(0.15*$E$7,0),900000),IF(A65=3,MIN(ROUND(0.3*$E$7,0),200000),MIN(ROUND(0.15*$E$7,0),225000) ))),"S/O"),"S/O")</f>
        <v>S/O</v>
      </c>
      <c r="N74" s="162" t="str">
        <f>IF(M74="S/O","S/O",IF($E$13&gt;M74,"Non","Oui"))</f>
        <v>S/O</v>
      </c>
      <c r="O74" s="197" t="str">
        <f>IF(N74="Non",$E$13-M74,"S/O")</f>
        <v>S/O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1:49" s="39" customFormat="1" ht="51" customHeight="1" x14ac:dyDescent="0.25">
      <c r="A75" s="99"/>
      <c r="B75" s="154" t="str">
        <f t="shared" si="6"/>
        <v>Autres projets autochtones</v>
      </c>
      <c r="C75" s="155" t="s">
        <v>141</v>
      </c>
      <c r="D75" s="190" t="str">
        <f>IF(A$62=3,IF($E$15&lt;&gt;"Oui",IF($E$12&lt;&gt;"Oui",G75,MIN(G75+M75,ROUND(0.84*$E$7,0))),IF($E$12&lt;&gt;"Oui",MIN((G75+J75),ROUND((0.84*$E$7),0)),MIN((G75+J75+M75),ROUND((0.84*$E$7),0)))),"S/O")</f>
        <v>S/O</v>
      </c>
      <c r="E75" s="150" t="str">
        <f>IF($A$62=3,IF($C$28&gt;D75,"Non","Oui"), "S/O")</f>
        <v>S/O</v>
      </c>
      <c r="F75" s="148" t="str">
        <f>IF(E75="Non",$C$28-D75,"S/O")</f>
        <v>S/O</v>
      </c>
      <c r="G75" s="190" t="str">
        <f>IF(A$62=3,IF((0.6*$E$7)&lt;550000,ROUND((0.6*$E$7),0),550000),"S/O")</f>
        <v>S/O</v>
      </c>
      <c r="H75" s="150" t="str">
        <f>IF($A$62=3,IF($E$17&gt;G75,"Non","Oui"), "S/O")</f>
        <v>S/O</v>
      </c>
      <c r="I75" s="190" t="str">
        <f>IF(H75="Non",$E$17-G75,"S/O")</f>
        <v>S/O</v>
      </c>
      <c r="J75" s="197" t="str">
        <f>IF($A$62=3,IF($E$15="Oui",IF(A65=4,ROUND(($F$10*$E$7),0)-$E$43,ROUND(($F$10*$E$7),0)),"S/O"),"S/O")</f>
        <v>S/O</v>
      </c>
      <c r="K75" s="150" t="str">
        <f>IF(J75="S/O","S/O",IF($A$62=3,IF($E$16&gt;J75,"Non","Oui"), "S/O"))</f>
        <v>S/O</v>
      </c>
      <c r="L75" s="148" t="str">
        <f>IF(K75="Non",$E$16-J75,"S/O")</f>
        <v>S/O</v>
      </c>
      <c r="M75" s="197" t="str">
        <f>IF(A62=3,IF($E$12="Oui",IF(A65=1,MIN(ROUND(0.15*$E$7,0),1000000),IF(A65=2,MIN(ROUND(0.15*$E$7,0),900000),IF(A65=3,MIN(ROUND(0.3*$E$7,0),200000),MIN(ROUND(0.15*$E$7,0),225000) ))),"S/O"),"S/O")</f>
        <v>S/O</v>
      </c>
      <c r="N75" s="162" t="str">
        <f>IF(M75="S/O","S/O",IF($E$13&gt;M75,"Non","Oui"))</f>
        <v>S/O</v>
      </c>
      <c r="O75" s="197" t="str">
        <f>IF(N75="Non",$E$13-M75,"S/O")</f>
        <v>S/O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</row>
    <row r="76" spans="1:49" s="39" customFormat="1" ht="37.15" customHeight="1" x14ac:dyDescent="0.25">
      <c r="A76" s="99"/>
      <c r="B76" s="86" t="str">
        <f t="shared" si="6"/>
        <v xml:space="preserve">     * LANGUES DIVERSES *</v>
      </c>
      <c r="C76" s="151"/>
      <c r="D76" s="153"/>
      <c r="E76" s="151"/>
      <c r="F76" s="151"/>
      <c r="G76" s="151"/>
      <c r="H76" s="151"/>
      <c r="I76" s="152"/>
      <c r="J76" s="41"/>
      <c r="K76" s="41"/>
      <c r="L76" s="41"/>
      <c r="M76" s="41"/>
      <c r="N76" s="41"/>
      <c r="O76" s="41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49" s="65" customFormat="1" ht="71.45" customHeight="1" x14ac:dyDescent="0.25">
      <c r="A77" s="102"/>
      <c r="B77" s="156" t="str">
        <f t="shared" si="6"/>
        <v>Projets de langues diverses</v>
      </c>
      <c r="C77" s="156" t="s">
        <v>142</v>
      </c>
      <c r="D77" s="190" t="str">
        <f>IF(A$62=5,IF($E$15&lt;&gt;"Oui",IF($E$12&lt;&gt;"Oui",G77,MIN(G77+0,ROUND(0.84*$E$7,0))),IF($E$12&lt;&gt;"Oui",MIN((G77+J77),ROUND((0.84*$E$7),0)),MIN((G77+J77+0),ROUND((0.84*$E$7),0)))),"S/O")</f>
        <v>S/O</v>
      </c>
      <c r="E77" s="150" t="str">
        <f>IF($A$62=5,IF($C$28&gt;D77,"Non","Oui"), "S/O")</f>
        <v>S/O</v>
      </c>
      <c r="F77" s="149" t="str">
        <f>IF(E77="Non",$C$28-D77,"S/O")</f>
        <v>S/O</v>
      </c>
      <c r="G77" s="190" t="str">
        <f>IF(A$62=5,IF((0.49*$E$7)&lt;200000,ROUND((0.49*$E$7),0),200000),"S/O")</f>
        <v>S/O</v>
      </c>
      <c r="H77" s="150" t="str">
        <f>IF(A$62=5,IF($E$17&gt;G77,"Non","Oui"), "S/O")</f>
        <v>S/O</v>
      </c>
      <c r="I77" s="197" t="str">
        <f>IF(H77="Non",$E$17-G77,"S/O")</f>
        <v>S/O</v>
      </c>
      <c r="J77" s="190" t="str">
        <f>IF($A$62=5,IF($E$15="Oui",ROUND(($F$10*$E$7),0),"S/O"),"S/O")</f>
        <v>S/O</v>
      </c>
      <c r="K77" s="162" t="str">
        <f>IF(J77="S/O","S/O",IF($A$62=5,IF($E$16&gt;J77,"Non","Oui"), "S/O"))</f>
        <v>S/O</v>
      </c>
      <c r="L77" s="197" t="str">
        <f>IF(K77="Non",$E$16-J77,"S/O")</f>
        <v>S/O</v>
      </c>
      <c r="M77" s="41"/>
      <c r="N77" s="41"/>
      <c r="O77" s="41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</row>
    <row r="78" spans="1:49" s="39" customFormat="1" ht="15.75" x14ac:dyDescent="0.25">
      <c r="A78" s="51"/>
      <c r="B78" s="48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41"/>
      <c r="N78" s="41"/>
      <c r="O78" s="41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49" s="39" customFormat="1" ht="22.9" customHeight="1" x14ac:dyDescent="0.25">
      <c r="A79" s="117" t="s">
        <v>50</v>
      </c>
      <c r="B79" s="69" t="str">
        <f>I63</f>
        <v>Bonus de production régionale anglaise</v>
      </c>
      <c r="C79" s="498" t="s">
        <v>143</v>
      </c>
      <c r="D79" s="499"/>
      <c r="E79" s="499"/>
      <c r="F79" s="500"/>
      <c r="G79" s="70"/>
      <c r="H79" s="51"/>
      <c r="I79" s="51"/>
      <c r="J79" s="51"/>
      <c r="K79" s="51"/>
      <c r="L79" s="51"/>
      <c r="M79" s="41"/>
      <c r="N79" s="41"/>
      <c r="O79" s="41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49" s="39" customFormat="1" ht="22.9" customHeight="1" x14ac:dyDescent="0.25">
      <c r="A80" s="117" t="s">
        <v>50</v>
      </c>
      <c r="B80" s="69" t="str">
        <f t="shared" ref="B80:B82" si="7">I64</f>
        <v>Incitatif pour les minorités anglophones</v>
      </c>
      <c r="C80" s="498" t="s">
        <v>144</v>
      </c>
      <c r="D80" s="499"/>
      <c r="E80" s="499"/>
      <c r="F80" s="500"/>
      <c r="G80" s="70"/>
      <c r="H80" s="51"/>
      <c r="I80" s="51"/>
      <c r="J80" s="51"/>
      <c r="K80" s="51"/>
      <c r="L80" s="51"/>
      <c r="M80" s="41"/>
      <c r="N80" s="41"/>
      <c r="O80" s="41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41" s="39" customFormat="1" ht="22.9" customHeight="1" x14ac:dyDescent="0.25">
      <c r="A81" s="117" t="s">
        <v>50</v>
      </c>
      <c r="B81" s="69" t="str">
        <f t="shared" si="7"/>
        <v>Incitatif du Nord</v>
      </c>
      <c r="C81" s="498" t="s">
        <v>145</v>
      </c>
      <c r="D81" s="499"/>
      <c r="E81" s="499"/>
      <c r="F81" s="500"/>
      <c r="G81" s="70"/>
      <c r="H81" s="51"/>
      <c r="I81" s="51"/>
      <c r="J81" s="51"/>
      <c r="K81" s="51"/>
      <c r="L81" s="51"/>
      <c r="M81" s="41"/>
      <c r="N81" s="41"/>
      <c r="O81" s="41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41" s="39" customFormat="1" ht="26.25" customHeight="1" x14ac:dyDescent="0.25">
      <c r="A82" s="117" t="s">
        <v>50</v>
      </c>
      <c r="B82" s="69" t="str">
        <f t="shared" si="7"/>
        <v>Production régionale de langue française au Québec</v>
      </c>
      <c r="C82" s="498" t="s">
        <v>146</v>
      </c>
      <c r="D82" s="499"/>
      <c r="E82" s="499"/>
      <c r="F82" s="500"/>
      <c r="G82" s="51"/>
      <c r="H82" s="51"/>
      <c r="I82" s="51"/>
      <c r="J82" s="51"/>
      <c r="K82" s="51"/>
      <c r="L82" s="51"/>
      <c r="M82" s="41"/>
      <c r="N82" s="41"/>
      <c r="O82" s="41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41" x14ac:dyDescent="0.2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41"/>
      <c r="N83" s="41"/>
      <c r="O83" s="41"/>
      <c r="AL83" s="25"/>
      <c r="AM83" s="25"/>
      <c r="AN83" s="25"/>
      <c r="AO83" s="25"/>
    </row>
    <row r="84" spans="1:41" x14ac:dyDescent="0.2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41"/>
      <c r="N84" s="41"/>
      <c r="O84" s="41"/>
      <c r="AL84" s="25"/>
      <c r="AM84" s="25"/>
      <c r="AN84" s="25"/>
      <c r="AO84" s="25"/>
    </row>
    <row r="85" spans="1:41" x14ac:dyDescent="0.2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41"/>
      <c r="N85" s="41"/>
      <c r="O85" s="41"/>
      <c r="AL85" s="25"/>
      <c r="AM85" s="25"/>
      <c r="AN85" s="25"/>
      <c r="AO85" s="25"/>
    </row>
    <row r="86" spans="1:41" x14ac:dyDescent="0.2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41"/>
      <c r="N86" s="41"/>
      <c r="O86" s="41"/>
      <c r="AL86" s="25"/>
      <c r="AM86" s="25"/>
      <c r="AN86" s="25"/>
      <c r="AO86" s="25"/>
    </row>
    <row r="87" spans="1:41" x14ac:dyDescent="0.2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AL87" s="25"/>
      <c r="AM87" s="25"/>
      <c r="AN87" s="25"/>
      <c r="AO87" s="25"/>
    </row>
    <row r="88" spans="1:41" x14ac:dyDescent="0.2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AL88" s="25"/>
      <c r="AM88" s="25"/>
      <c r="AN88" s="25"/>
      <c r="AO88" s="25"/>
    </row>
    <row r="89" spans="1:41" x14ac:dyDescent="0.2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AL89" s="25"/>
      <c r="AM89" s="25"/>
      <c r="AN89" s="25"/>
      <c r="AO89" s="25"/>
    </row>
    <row r="90" spans="1:41" x14ac:dyDescent="0.2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AL90" s="25"/>
      <c r="AM90" s="25"/>
      <c r="AN90" s="25"/>
      <c r="AO90" s="25"/>
    </row>
    <row r="91" spans="1:41" x14ac:dyDescent="0.2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AL91" s="25"/>
      <c r="AM91" s="25"/>
      <c r="AN91" s="25"/>
      <c r="AO91" s="25"/>
    </row>
    <row r="92" spans="1:41" x14ac:dyDescent="0.2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AL92" s="25"/>
      <c r="AM92" s="25"/>
      <c r="AN92" s="25"/>
      <c r="AO92" s="25"/>
    </row>
    <row r="93" spans="1:41" x14ac:dyDescent="0.2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AL93" s="25"/>
      <c r="AM93" s="25"/>
      <c r="AN93" s="25"/>
      <c r="AO93" s="25"/>
    </row>
    <row r="94" spans="1:41" s="4" customFormat="1" x14ac:dyDescent="0.2">
      <c r="A94" s="5"/>
      <c r="B94" s="28"/>
      <c r="C94" s="6"/>
      <c r="D94" s="6"/>
      <c r="E94" s="5"/>
      <c r="F94" s="5"/>
      <c r="G94" s="5"/>
      <c r="H94" s="5"/>
      <c r="I94" s="5"/>
      <c r="J94" s="5"/>
      <c r="K94" s="5"/>
      <c r="L94" s="5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24"/>
      <c r="AM94" s="24"/>
      <c r="AN94" s="24"/>
      <c r="AO94" s="24"/>
    </row>
    <row r="95" spans="1:41" s="4" customFormat="1" x14ac:dyDescent="0.2">
      <c r="A95" s="5"/>
      <c r="B95" s="506"/>
      <c r="C95" s="506"/>
      <c r="D95" s="506"/>
      <c r="E95" s="5"/>
      <c r="F95" s="5"/>
      <c r="G95" s="5"/>
      <c r="H95" s="5"/>
      <c r="I95" s="5"/>
      <c r="J95" s="5"/>
      <c r="K95" s="5"/>
      <c r="L95" s="5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24"/>
      <c r="AM95" s="24"/>
      <c r="AN95" s="24"/>
      <c r="AO95" s="24"/>
    </row>
    <row r="96" spans="1:41" s="4" customFormat="1" x14ac:dyDescent="0.2">
      <c r="A96" s="5"/>
      <c r="B96" s="416"/>
      <c r="C96" s="416"/>
      <c r="D96" s="416"/>
      <c r="E96" s="5"/>
      <c r="F96" s="5"/>
      <c r="G96" s="5"/>
      <c r="H96" s="5"/>
      <c r="I96" s="5"/>
      <c r="J96" s="5"/>
      <c r="K96" s="5"/>
      <c r="L96" s="5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24"/>
      <c r="AM96" s="24"/>
      <c r="AN96" s="24"/>
      <c r="AO96" s="24"/>
    </row>
    <row r="97" spans="1:12" x14ac:dyDescent="0.2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</row>
  </sheetData>
  <mergeCells count="32">
    <mergeCell ref="B95:D95"/>
    <mergeCell ref="B96:D96"/>
    <mergeCell ref="A19:C19"/>
    <mergeCell ref="A70:B70"/>
    <mergeCell ref="C1:K1"/>
    <mergeCell ref="C82:F82"/>
    <mergeCell ref="A20:F20"/>
    <mergeCell ref="A28:B28"/>
    <mergeCell ref="A30:A31"/>
    <mergeCell ref="B30:K31"/>
    <mergeCell ref="C43:D43"/>
    <mergeCell ref="I48:J48"/>
    <mergeCell ref="C7:D7"/>
    <mergeCell ref="C10:D10"/>
    <mergeCell ref="B72:C72"/>
    <mergeCell ref="C79:F79"/>
    <mergeCell ref="C80:F80"/>
    <mergeCell ref="C81:F81"/>
    <mergeCell ref="D71:F71"/>
    <mergeCell ref="C15:D15"/>
    <mergeCell ref="C16:D16"/>
    <mergeCell ref="C17:D17"/>
    <mergeCell ref="B2:D2"/>
    <mergeCell ref="M71:O71"/>
    <mergeCell ref="G71:I71"/>
    <mergeCell ref="J71:L71"/>
    <mergeCell ref="I63:J63"/>
    <mergeCell ref="F2:G2"/>
    <mergeCell ref="H2:I2"/>
    <mergeCell ref="J2:K2"/>
    <mergeCell ref="A5:B5"/>
    <mergeCell ref="C12:D12"/>
  </mergeCells>
  <conditionalFormatting sqref="E12">
    <cfRule type="containsText" dxfId="10" priority="23" operator="containsText" text="No">
      <formula>NOT(ISERROR(SEARCH("No",E12)))</formula>
    </cfRule>
  </conditionalFormatting>
  <conditionalFormatting sqref="E15">
    <cfRule type="containsText" dxfId="9" priority="22" operator="containsText" text="No">
      <formula>NOT(ISERROR(SEARCH("No",E15)))</formula>
    </cfRule>
  </conditionalFormatting>
  <conditionalFormatting sqref="E64:E65">
    <cfRule type="containsText" dxfId="8" priority="18" operator="containsText" text="No">
      <formula>NOT(ISERROR(SEARCH("No",E64)))</formula>
    </cfRule>
  </conditionalFormatting>
  <conditionalFormatting sqref="E67">
    <cfRule type="containsText" dxfId="7" priority="6" operator="containsText" text="No">
      <formula>NOT(ISERROR(SEARCH("No",E67)))</formula>
    </cfRule>
  </conditionalFormatting>
  <conditionalFormatting sqref="E74:E75">
    <cfRule type="containsText" dxfId="6" priority="1" operator="containsText" text="No">
      <formula>NOT(ISERROR(SEARCH("No",E74)))</formula>
    </cfRule>
  </conditionalFormatting>
  <conditionalFormatting sqref="E77">
    <cfRule type="containsText" dxfId="5" priority="12" operator="containsText" text="No">
      <formula>NOT(ISERROR(SEARCH("No",E77)))</formula>
    </cfRule>
  </conditionalFormatting>
  <conditionalFormatting sqref="H74:H75">
    <cfRule type="containsText" dxfId="4" priority="2" operator="containsText" text="No">
      <formula>NOT(ISERROR(SEARCH("No",H74)))</formula>
    </cfRule>
  </conditionalFormatting>
  <conditionalFormatting sqref="H77">
    <cfRule type="containsText" dxfId="3" priority="17" operator="containsText" text="No">
      <formula>NOT(ISERROR(SEARCH("No",H77)))</formula>
    </cfRule>
  </conditionalFormatting>
  <conditionalFormatting sqref="K74:K75">
    <cfRule type="containsText" dxfId="2" priority="4" operator="containsText" text="No">
      <formula>NOT(ISERROR(SEARCH("No",K74)))</formula>
    </cfRule>
  </conditionalFormatting>
  <conditionalFormatting sqref="K77">
    <cfRule type="containsText" dxfId="1" priority="11" operator="containsText" text="No">
      <formula>NOT(ISERROR(SEARCH("No",K77)))</formula>
    </cfRule>
  </conditionalFormatting>
  <conditionalFormatting sqref="N74:N75">
    <cfRule type="containsText" dxfId="0" priority="3" operator="containsText" text="No">
      <formula>NOT(ISERROR(SEARCH("No",N74)))</formula>
    </cfRule>
  </conditionalFormatting>
  <dataValidations count="10">
    <dataValidation type="whole" allowBlank="1" showInputMessage="1" showErrorMessage="1" errorTitle="Not a number" error="Enter the Envelope Contribution for this licence" sqref="G43 E36:E42" xr:uid="{EA52875B-BDD1-4C4C-AAE5-69ACDB13A640}">
      <formula1>0</formula1>
      <formula2>999999999999999</formula2>
    </dataValidation>
    <dataValidation type="list" allowBlank="1" showInputMessage="1" showErrorMessage="1" sqref="F12" xr:uid="{FAA6F74D-F669-4F95-ABF7-6E134446D1D1}">
      <formula1>#REF!</formula1>
    </dataValidation>
    <dataValidation type="date" allowBlank="1" showInputMessage="1" showErrorMessage="1" promptTitle="Date" prompt="ex. Y-M-D ou D-M-Y" sqref="E22:E23" xr:uid="{6A4E606F-A39D-4E94-9FCD-4CEEF28A223A}">
      <formula1>36526</formula1>
      <formula2>401749</formula2>
    </dataValidation>
    <dataValidation type="decimal" allowBlank="1" showInputMessage="1" showErrorMessage="1" errorTitle="Not a number" error="Enter the Envelope Contribution for this licence" sqref="C22:C23" xr:uid="{395B8E14-281B-4623-B2EF-A238E6586851}">
      <formula1>0</formula1>
      <formula2>999999999999999</formula2>
    </dataValidation>
    <dataValidation type="list" allowBlank="1" showInputMessage="1" showErrorMessage="1" sqref="E15 E12 E10" xr:uid="{2D00BC0E-9DD6-4CFF-BE24-7B2D7D4B2BC3}">
      <formula1>$H$66:$H$67</formula1>
    </dataValidation>
    <dataValidation type="whole" allowBlank="1" showInputMessage="1" showErrorMessage="1" sqref="H22:H27" xr:uid="{37D2D53E-EC7B-4282-9D3C-737D8EA71FD3}">
      <formula1>0</formula1>
      <formula2>999</formula2>
    </dataValidation>
    <dataValidation allowBlank="1" showInputMessage="1" showErrorMessage="1" promptTitle="# of Months" prompt="Enter adjusted exclusivity in &quot;number of months&quot;." sqref="J36:J41" xr:uid="{7BDC73D2-6B5A-4476-B472-B43D5FDF5AE6}"/>
    <dataValidation type="whole" allowBlank="1" showInputMessage="1" showErrorMessage="1" promptTitle="# of months" prompt="Enter the licence term in months. Equations are allowable (i.e. =6*12)" sqref="G22:G27" xr:uid="{36015D5D-1381-469B-B4FB-C6EE2F2EB124}">
      <formula1>1</formula1>
      <formula2>999</formula2>
    </dataValidation>
    <dataValidation type="decimal" allowBlank="1" showErrorMessage="1" errorTitle="Not a number" error="Enter the Envelope Contribution for this licence" sqref="C27 C24:C25" xr:uid="{DE883081-651F-48BB-8041-209B60562AA2}">
      <formula1>0</formula1>
      <formula2>999999999999999</formula2>
    </dataValidation>
    <dataValidation type="date" allowBlank="1" showInputMessage="1" showErrorMessage="1" promptTitle="Date" prompt="Enter in date format, i.e. Y-M-D or D-M-Y." sqref="E24:E27" xr:uid="{9E19FF23-17BF-4FA4-AC0D-BE0C765A7AB9}">
      <formula1>36526</formula1>
      <formula2>401749</formula2>
    </dataValidation>
  </dataValidations>
  <pageMargins left="0.70866141732283472" right="0.70866141732283472" top="0.74803149606299213" bottom="0.74803149606299213" header="0.31496062992125984" footer="0.31496062992125984"/>
  <pageSetup scale="61" fitToHeight="3" orientation="landscape" horizontalDpi="1200" verticalDpi="1200" r:id="rId1"/>
  <rowBreaks count="2" manualBreakCount="2">
    <brk id="32" max="14" man="1"/>
    <brk id="68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2</xdr:col>
                    <xdr:colOff>38100</xdr:colOff>
                    <xdr:row>3</xdr:row>
                    <xdr:rowOff>57150</xdr:rowOff>
                  </from>
                  <to>
                    <xdr:col>4</xdr:col>
                    <xdr:colOff>781050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1</xdr:col>
                    <xdr:colOff>1590675</xdr:colOff>
                    <xdr:row>12</xdr:row>
                    <xdr:rowOff>9525</xdr:rowOff>
                  </from>
                  <to>
                    <xdr:col>4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B355B0DA24A42863D63F0B43E0593" ma:contentTypeVersion="17" ma:contentTypeDescription="Crée un document." ma:contentTypeScope="" ma:versionID="3763a0dc08b0b1b92e728dab51c49f9a">
  <xsd:schema xmlns:xsd="http://www.w3.org/2001/XMLSchema" xmlns:xs="http://www.w3.org/2001/XMLSchema" xmlns:p="http://schemas.microsoft.com/office/2006/metadata/properties" xmlns:ns3="a7abc3a8-d20e-4107-bb38-27564ce6f945" xmlns:ns4="f22adbd7-7813-4c6b-a1fa-f3ffa9d7376e" targetNamespace="http://schemas.microsoft.com/office/2006/metadata/properties" ma:root="true" ma:fieldsID="93d90a3f9bb50248ffdf7662c3021c7d" ns3:_="" ns4:_="">
    <xsd:import namespace="a7abc3a8-d20e-4107-bb38-27564ce6f945"/>
    <xsd:import namespace="f22adbd7-7813-4c6b-a1fa-f3ffa9d737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c3a8-d20e-4107-bb38-27564ce6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adbd7-7813-4c6b-a1fa-f3ffa9d737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bc3a8-d20e-4107-bb38-27564ce6f945" xsi:nil="true"/>
  </documentManagement>
</p:properties>
</file>

<file path=customXml/itemProps1.xml><?xml version="1.0" encoding="utf-8"?>
<ds:datastoreItem xmlns:ds="http://schemas.openxmlformats.org/officeDocument/2006/customXml" ds:itemID="{8C588A39-23AC-493C-84FD-E2FDC5072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bc3a8-d20e-4107-bb38-27564ce6f945"/>
    <ds:schemaRef ds:uri="f22adbd7-7813-4c6b-a1fa-f3ffa9d73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38D6F-3AA8-45E2-BBFD-0A6AB9B470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2A6AA-D19B-401A-8639-920F6DCDDCD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f22adbd7-7813-4c6b-a1fa-f3ffa9d7376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7abc3a8-d20e-4107-bb38-27564ce6f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ENGLISH</vt:lpstr>
      <vt:lpstr>FRANÇAIS</vt:lpstr>
      <vt:lpstr>AUTOCHTONE, DIVERSITÉ-FR</vt:lpstr>
      <vt:lpstr>'AUTOCHTONE, DIVERSITÉ-FR'!Zone_d_impression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2025-05-30T15:39:43Z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0x0101000A8B355B0DA24A42863D63F0B43E0593</vt:lpwstr>
  </property>
  <property fmtid="{D5CDD505-2E9C-101B-9397-08002B2CF9AE}" pid="3" name="_dlc_DocIdItemGuid">
    <vt:lpwstr>0445ab8c-a0f3-48a4-9e5d-bfcf5c7a99cb</vt:lpwstr>
  </property>
</Properties>
</file>