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469" documentId="8_{08470DE8-EB39-4607-9D3B-E20B10331EF9}" xr6:coauthVersionLast="47" xr6:coauthVersionMax="47" xr10:uidLastSave="{B714F3C0-50F5-4E91-9F19-3DA14F4F8073}"/>
  <bookViews>
    <workbookView xWindow="28680" yWindow="735" windowWidth="29040" windowHeight="15720" xr2:uid="{00000000-000D-0000-FFFF-FFFF00000000}"/>
  </bookViews>
  <sheets>
    <sheet name="ENGLISH" sheetId="6" r:id="rId1"/>
    <sheet name="FRANÇAIS" sheetId="4" r:id="rId2"/>
  </sheets>
  <definedNames>
    <definedName name="_xlnm.Print_Area" localSheetId="0">ENGLISH!$A$1:$P$98</definedName>
    <definedName name="_xlnm.Print_Area" localSheetId="1">FRANÇAIS!$A$1:$K$97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9" i="6" l="1"/>
  <c r="W67" i="6"/>
  <c r="W69" i="4"/>
  <c r="W67" i="4"/>
  <c r="W65" i="4"/>
  <c r="E14" i="6"/>
  <c r="E15" i="6" s="1"/>
  <c r="E14" i="4" l="1"/>
  <c r="E15" i="4" s="1"/>
  <c r="I102" i="6" l="1"/>
  <c r="J102" i="6" s="1"/>
  <c r="K102" i="6" s="1"/>
  <c r="F102" i="6"/>
  <c r="G102" i="6" s="1"/>
  <c r="H102" i="6" s="1"/>
  <c r="A102" i="6"/>
  <c r="I101" i="6"/>
  <c r="J101" i="6" s="1"/>
  <c r="K101" i="6" s="1"/>
  <c r="F101" i="6"/>
  <c r="G101" i="6" s="1"/>
  <c r="H101" i="6" s="1"/>
  <c r="C101" i="6"/>
  <c r="D101" i="6" s="1"/>
  <c r="E101" i="6" s="1"/>
  <c r="A101" i="6"/>
  <c r="I100" i="6"/>
  <c r="J100" i="6" s="1"/>
  <c r="K100" i="6" s="1"/>
  <c r="A100" i="6"/>
  <c r="J99" i="6"/>
  <c r="G99" i="6"/>
  <c r="H99" i="6" s="1"/>
  <c r="D94" i="6"/>
  <c r="D93" i="6"/>
  <c r="D91" i="6"/>
  <c r="D90" i="6"/>
  <c r="D89" i="6"/>
  <c r="D88" i="6"/>
  <c r="D87" i="6"/>
  <c r="D86" i="6"/>
  <c r="D83" i="6"/>
  <c r="D82" i="6"/>
  <c r="E82" i="6" s="1"/>
  <c r="D81" i="6"/>
  <c r="E81" i="6" s="1"/>
  <c r="G81" i="6" s="1"/>
  <c r="D80" i="6"/>
  <c r="E80" i="6" s="1"/>
  <c r="D78" i="6"/>
  <c r="D77" i="6"/>
  <c r="E77" i="6" s="1"/>
  <c r="G77" i="6" s="1"/>
  <c r="D76" i="6"/>
  <c r="D75" i="6"/>
  <c r="V69" i="6"/>
  <c r="D69" i="6"/>
  <c r="B69" i="6"/>
  <c r="V67" i="6"/>
  <c r="D67" i="6"/>
  <c r="B67" i="6"/>
  <c r="V65" i="6"/>
  <c r="D65" i="6"/>
  <c r="B65" i="6"/>
  <c r="V63" i="6"/>
  <c r="D63" i="6"/>
  <c r="B63" i="6"/>
  <c r="V61" i="6"/>
  <c r="D61" i="6"/>
  <c r="B61" i="6"/>
  <c r="V59" i="6"/>
  <c r="F59" i="6"/>
  <c r="K59" i="6" s="1"/>
  <c r="D59" i="6"/>
  <c r="B59" i="6"/>
  <c r="X45" i="6"/>
  <c r="V45" i="6"/>
  <c r="B45" i="6"/>
  <c r="X44" i="6"/>
  <c r="V44" i="6"/>
  <c r="B44" i="6"/>
  <c r="X43" i="6"/>
  <c r="V43" i="6"/>
  <c r="B43" i="6"/>
  <c r="X42" i="6"/>
  <c r="V42" i="6"/>
  <c r="B42" i="6"/>
  <c r="X41" i="6"/>
  <c r="V41" i="6"/>
  <c r="B41" i="6"/>
  <c r="V40" i="6"/>
  <c r="B40" i="6"/>
  <c r="C33" i="6"/>
  <c r="A33" i="6"/>
  <c r="C47" i="6" s="1"/>
  <c r="F32" i="6"/>
  <c r="E32" i="6"/>
  <c r="D32" i="6"/>
  <c r="C39" i="6" s="1"/>
  <c r="C32" i="6"/>
  <c r="Y31" i="6"/>
  <c r="X31" i="6"/>
  <c r="B70" i="6" s="1"/>
  <c r="H31" i="6"/>
  <c r="Y30" i="6"/>
  <c r="X30" i="6"/>
  <c r="G55" i="6" s="1"/>
  <c r="G56" i="6" s="1"/>
  <c r="H30" i="6"/>
  <c r="Y29" i="6"/>
  <c r="X29" i="6"/>
  <c r="H29" i="6"/>
  <c r="Y28" i="6"/>
  <c r="X28" i="6"/>
  <c r="H28" i="6"/>
  <c r="Y27" i="6"/>
  <c r="X27" i="6"/>
  <c r="H27" i="6"/>
  <c r="Y26" i="6"/>
  <c r="X26" i="6"/>
  <c r="H26" i="6"/>
  <c r="K10" i="6"/>
  <c r="L10" i="6" s="1"/>
  <c r="F8" i="6"/>
  <c r="K4" i="6"/>
  <c r="K6" i="6" s="1"/>
  <c r="K8" i="6" s="1"/>
  <c r="L8" i="6" s="1"/>
  <c r="F100" i="6" l="1"/>
  <c r="G100" i="6" s="1"/>
  <c r="H100" i="6" s="1"/>
  <c r="D85" i="6"/>
  <c r="W65" i="6"/>
  <c r="B66" i="6" s="1"/>
  <c r="D53" i="6"/>
  <c r="W61" i="6"/>
  <c r="B62" i="6" s="1"/>
  <c r="C102" i="6"/>
  <c r="D102" i="6" s="1"/>
  <c r="E102" i="6" s="1"/>
  <c r="C100" i="6"/>
  <c r="D100" i="6" s="1"/>
  <c r="E100" i="6" s="1"/>
  <c r="E47" i="6"/>
  <c r="F47" i="6" s="1"/>
  <c r="C99" i="6"/>
  <c r="D99" i="6" s="1"/>
  <c r="E99" i="6" s="1"/>
  <c r="E94" i="6"/>
  <c r="F94" i="6" s="1"/>
  <c r="E86" i="6"/>
  <c r="F86" i="6" s="1"/>
  <c r="E87" i="6"/>
  <c r="F87" i="6" s="1"/>
  <c r="E91" i="6"/>
  <c r="F91" i="6" s="1"/>
  <c r="E90" i="6"/>
  <c r="F90" i="6" s="1"/>
  <c r="C55" i="6"/>
  <c r="C56" i="6" s="1"/>
  <c r="W59" i="6"/>
  <c r="E53" i="6"/>
  <c r="W63" i="6"/>
  <c r="B64" i="6" s="1"/>
  <c r="E93" i="6"/>
  <c r="F93" i="6" s="1"/>
  <c r="E89" i="6"/>
  <c r="F89" i="6" s="1"/>
  <c r="E88" i="6"/>
  <c r="F88" i="6" s="1"/>
  <c r="H53" i="6"/>
  <c r="F99" i="6"/>
  <c r="G53" i="6"/>
  <c r="H67" i="6"/>
  <c r="G44" i="6" s="1"/>
  <c r="B68" i="6"/>
  <c r="H61" i="6"/>
  <c r="G41" i="6" s="1"/>
  <c r="M70" i="6"/>
  <c r="G80" i="6"/>
  <c r="F80" i="6"/>
  <c r="F67" i="6"/>
  <c r="F63" i="6"/>
  <c r="H63" i="6" s="1"/>
  <c r="G42" i="6" s="1"/>
  <c r="F61" i="6"/>
  <c r="F69" i="6"/>
  <c r="F65" i="6"/>
  <c r="G82" i="6"/>
  <c r="F82" i="6"/>
  <c r="D55" i="6"/>
  <c r="D56" i="6" s="1"/>
  <c r="H65" i="6"/>
  <c r="G43" i="6" s="1"/>
  <c r="E55" i="6"/>
  <c r="F53" i="6"/>
  <c r="D25" i="6"/>
  <c r="F55" i="6"/>
  <c r="F56" i="6" s="1"/>
  <c r="H69" i="6"/>
  <c r="G45" i="6" s="1"/>
  <c r="H55" i="6"/>
  <c r="H56" i="6" s="1"/>
  <c r="H59" i="6"/>
  <c r="G40" i="6" s="1"/>
  <c r="C53" i="6"/>
  <c r="B60" i="6"/>
  <c r="F77" i="6"/>
  <c r="F81" i="6"/>
  <c r="E46" i="6" l="1"/>
  <c r="E43" i="6" s="1"/>
  <c r="E56" i="6"/>
  <c r="H42" i="6"/>
  <c r="H45" i="6"/>
  <c r="H41" i="6"/>
  <c r="H43" i="6"/>
  <c r="G46" i="6"/>
  <c r="H44" i="6"/>
  <c r="H40" i="6"/>
  <c r="E41" i="6" l="1"/>
  <c r="E40" i="6"/>
  <c r="E42" i="6"/>
  <c r="C46" i="6"/>
  <c r="C42" i="6" s="1"/>
  <c r="E44" i="6"/>
  <c r="E45" i="6"/>
  <c r="H46" i="6"/>
  <c r="E78" i="6" s="1"/>
  <c r="J40" i="6"/>
  <c r="K40" i="6" s="1"/>
  <c r="D46" i="6" l="1"/>
  <c r="C41" i="6"/>
  <c r="C43" i="6"/>
  <c r="C44" i="6"/>
  <c r="C45" i="6"/>
  <c r="C40" i="6"/>
  <c r="E83" i="6"/>
  <c r="E85" i="6"/>
  <c r="E76" i="6"/>
  <c r="G78" i="6"/>
  <c r="E75" i="6"/>
  <c r="L40" i="6"/>
  <c r="H48" i="6"/>
  <c r="I48" i="6"/>
  <c r="D45" i="6"/>
  <c r="D44" i="6"/>
  <c r="F44" i="6" s="1"/>
  <c r="D41" i="6"/>
  <c r="F41" i="6" s="1"/>
  <c r="D43" i="6"/>
  <c r="F43" i="6" s="1"/>
  <c r="D42" i="6"/>
  <c r="F42" i="6" s="1"/>
  <c r="D40" i="6"/>
  <c r="F40" i="6" s="1"/>
  <c r="F45" i="6" l="1"/>
  <c r="G83" i="6"/>
  <c r="G76" i="6"/>
  <c r="G75" i="6"/>
  <c r="I46" i="6" s="1"/>
  <c r="F46" i="6"/>
  <c r="J46" i="6" l="1"/>
  <c r="F83" i="6" s="1"/>
  <c r="I43" i="6"/>
  <c r="J43" i="6" s="1"/>
  <c r="I45" i="6"/>
  <c r="J45" i="6" s="1"/>
  <c r="I42" i="6"/>
  <c r="J42" i="6" s="1"/>
  <c r="I41" i="6"/>
  <c r="J41" i="6" s="1"/>
  <c r="I44" i="6"/>
  <c r="J44" i="6" s="1"/>
  <c r="B65" i="4"/>
  <c r="F76" i="6" l="1"/>
  <c r="F85" i="6"/>
  <c r="F75" i="6"/>
  <c r="F78" i="6"/>
  <c r="L42" i="6"/>
  <c r="K42" i="6"/>
  <c r="L44" i="6"/>
  <c r="K44" i="6"/>
  <c r="L41" i="6"/>
  <c r="K41" i="6"/>
  <c r="L45" i="6"/>
  <c r="K45" i="6"/>
  <c r="L43" i="6"/>
  <c r="K43" i="6"/>
  <c r="V63" i="4"/>
  <c r="D63" i="4"/>
  <c r="B63" i="4"/>
  <c r="X42" i="4"/>
  <c r="B42" i="4"/>
  <c r="X28" i="4"/>
  <c r="W63" i="4" s="1"/>
  <c r="H28" i="4"/>
  <c r="B69" i="4"/>
  <c r="B67" i="4"/>
  <c r="B61" i="4"/>
  <c r="B59" i="4"/>
  <c r="V69" i="4"/>
  <c r="V67" i="4"/>
  <c r="V65" i="4"/>
  <c r="V61" i="4"/>
  <c r="V59" i="4"/>
  <c r="D59" i="4"/>
  <c r="F59" i="4"/>
  <c r="D61" i="4"/>
  <c r="K46" i="6" l="1"/>
  <c r="L46" i="6"/>
  <c r="B64" i="4"/>
  <c r="E55" i="4"/>
  <c r="E56" i="4" s="1"/>
  <c r="E53" i="4"/>
  <c r="K59" i="4"/>
  <c r="X31" i="4"/>
  <c r="H69" i="4" s="1"/>
  <c r="X30" i="4"/>
  <c r="X29" i="4"/>
  <c r="X27" i="4"/>
  <c r="W61" i="4" s="1"/>
  <c r="X26" i="4"/>
  <c r="W59" i="4" s="1"/>
  <c r="B68" i="4" l="1"/>
  <c r="H67" i="4"/>
  <c r="H55" i="4"/>
  <c r="H56" i="4" s="1"/>
  <c r="B62" i="4"/>
  <c r="B60" i="4"/>
  <c r="H59" i="4"/>
  <c r="H65" i="4"/>
  <c r="G55" i="4"/>
  <c r="G56" i="4" s="1"/>
  <c r="C55" i="4"/>
  <c r="C56" i="4" s="1"/>
  <c r="D55" i="4"/>
  <c r="D56" i="4" s="1"/>
  <c r="F55" i="4"/>
  <c r="D53" i="4"/>
  <c r="F53" i="4"/>
  <c r="G53" i="4"/>
  <c r="H53" i="4"/>
  <c r="C53" i="4"/>
  <c r="B66" i="4"/>
  <c r="B70" i="4"/>
  <c r="H45" i="4" s="1"/>
  <c r="D25" i="4"/>
  <c r="H44" i="4" l="1"/>
  <c r="H40" i="4"/>
  <c r="H43" i="4"/>
  <c r="I98" i="4"/>
  <c r="J98" i="4" s="1"/>
  <c r="K98" i="4" s="1"/>
  <c r="A98" i="4"/>
  <c r="D92" i="4"/>
  <c r="D91" i="4"/>
  <c r="E91" i="4" s="1"/>
  <c r="D90" i="4"/>
  <c r="E90" i="4" s="1"/>
  <c r="D89" i="4"/>
  <c r="D87" i="4"/>
  <c r="D86" i="4"/>
  <c r="E86" i="4" s="1"/>
  <c r="D85" i="4"/>
  <c r="E85" i="4" s="1"/>
  <c r="D83" i="4"/>
  <c r="D82" i="4"/>
  <c r="E82" i="4" s="1"/>
  <c r="D81" i="4"/>
  <c r="D80" i="4"/>
  <c r="E80" i="4" s="1"/>
  <c r="D78" i="4"/>
  <c r="E78" i="4" s="1"/>
  <c r="D77" i="4"/>
  <c r="D76" i="4"/>
  <c r="D75" i="4"/>
  <c r="A75" i="4"/>
  <c r="D69" i="4"/>
  <c r="D67" i="4"/>
  <c r="D65" i="4"/>
  <c r="B47" i="4"/>
  <c r="I97" i="4" s="1"/>
  <c r="X45" i="4"/>
  <c r="V45" i="4"/>
  <c r="B45" i="4"/>
  <c r="X44" i="4"/>
  <c r="V44" i="4"/>
  <c r="B44" i="4"/>
  <c r="X43" i="4"/>
  <c r="V43" i="4"/>
  <c r="B43" i="4"/>
  <c r="F63" i="4"/>
  <c r="H63" i="4" s="1"/>
  <c r="H42" i="4" s="1"/>
  <c r="X41" i="4"/>
  <c r="F61" i="4" s="1"/>
  <c r="H61" i="4" s="1"/>
  <c r="H41" i="4" s="1"/>
  <c r="B41" i="4"/>
  <c r="V40" i="4"/>
  <c r="B40" i="4"/>
  <c r="C33" i="4"/>
  <c r="A33" i="4"/>
  <c r="F32" i="4"/>
  <c r="E32" i="4"/>
  <c r="D32" i="4"/>
  <c r="C32" i="4"/>
  <c r="H31" i="4"/>
  <c r="H30" i="4"/>
  <c r="H29" i="4"/>
  <c r="H27" i="4"/>
  <c r="H26" i="4"/>
  <c r="K10" i="4"/>
  <c r="L10" i="4" s="1"/>
  <c r="F8" i="4"/>
  <c r="F99" i="4" s="1"/>
  <c r="G99" i="4" s="1"/>
  <c r="H99" i="4" s="1"/>
  <c r="K4" i="4"/>
  <c r="K6" i="4" s="1"/>
  <c r="K8" i="4" s="1"/>
  <c r="L8" i="4" s="1"/>
  <c r="C39" i="4" l="1"/>
  <c r="E77" i="4"/>
  <c r="H77" i="4" s="1"/>
  <c r="G85" i="4"/>
  <c r="G86" i="4"/>
  <c r="G91" i="4"/>
  <c r="F98" i="4"/>
  <c r="G98" i="4" s="1"/>
  <c r="H98" i="4" s="1"/>
  <c r="G90" i="4"/>
  <c r="G40" i="4"/>
  <c r="J40" i="4" s="1"/>
  <c r="V41" i="4"/>
  <c r="V42" i="4"/>
  <c r="G41" i="4"/>
  <c r="C97" i="4"/>
  <c r="D97" i="4" s="1"/>
  <c r="E97" i="4" s="1"/>
  <c r="F97" i="4"/>
  <c r="G97" i="4" s="1"/>
  <c r="H97" i="4" s="1"/>
  <c r="I99" i="4"/>
  <c r="C98" i="4" l="1"/>
  <c r="D98" i="4" s="1"/>
  <c r="E98" i="4" s="1"/>
  <c r="E47" i="4"/>
  <c r="F47" i="4" s="1"/>
  <c r="C99" i="4"/>
  <c r="H82" i="4"/>
  <c r="G82" i="4"/>
  <c r="G42" i="4"/>
  <c r="K40" i="4"/>
  <c r="L40" i="4"/>
  <c r="E46" i="4"/>
  <c r="E42" i="4" s="1"/>
  <c r="F42" i="4" s="1"/>
  <c r="F65" i="4"/>
  <c r="F67" i="4"/>
  <c r="F69" i="4"/>
  <c r="J99" i="4"/>
  <c r="K99" i="4" s="1"/>
  <c r="F56" i="4" l="1"/>
  <c r="D99" i="4"/>
  <c r="E99" i="4" s="1"/>
  <c r="G45" i="4"/>
  <c r="G44" i="4"/>
  <c r="E41" i="4"/>
  <c r="F41" i="4" s="1"/>
  <c r="E43" i="4"/>
  <c r="F43" i="4" s="1"/>
  <c r="E44" i="4"/>
  <c r="F44" i="4" s="1"/>
  <c r="E45" i="4"/>
  <c r="F45" i="4" s="1"/>
  <c r="C46" i="4"/>
  <c r="D46" i="4" s="1"/>
  <c r="E40" i="4"/>
  <c r="F40" i="4" s="1"/>
  <c r="G43" i="4" l="1"/>
  <c r="G46" i="4" s="1"/>
  <c r="F46" i="4"/>
  <c r="H46" i="4"/>
  <c r="C45" i="4"/>
  <c r="D45" i="4" s="1"/>
  <c r="C44" i="4"/>
  <c r="D44" i="4" s="1"/>
  <c r="C42" i="4"/>
  <c r="D42" i="4" s="1"/>
  <c r="C43" i="4"/>
  <c r="D43" i="4" s="1"/>
  <c r="C41" i="4"/>
  <c r="D41" i="4" s="1"/>
  <c r="C40" i="4"/>
  <c r="D40" i="4" s="1"/>
  <c r="E92" i="4" l="1"/>
  <c r="E89" i="4"/>
  <c r="E87" i="4"/>
  <c r="H48" i="4"/>
  <c r="E75" i="4"/>
  <c r="I48" i="4"/>
  <c r="E83" i="4"/>
  <c r="E81" i="4"/>
  <c r="E76" i="4"/>
  <c r="H76" i="4" s="1"/>
  <c r="G77" i="4"/>
  <c r="H75" i="4" l="1"/>
  <c r="H83" i="4"/>
  <c r="H81" i="4"/>
  <c r="H78" i="4"/>
  <c r="H80" i="4"/>
  <c r="I46" i="4" l="1"/>
  <c r="I44" i="4" s="1"/>
  <c r="I43" i="4" l="1"/>
  <c r="J43" i="4" s="1"/>
  <c r="L43" i="4" s="1"/>
  <c r="I42" i="4"/>
  <c r="J42" i="4" s="1"/>
  <c r="I41" i="4"/>
  <c r="J41" i="4" s="1"/>
  <c r="L41" i="4" s="1"/>
  <c r="I45" i="4"/>
  <c r="J45" i="4" s="1"/>
  <c r="J46" i="4"/>
  <c r="J44" i="4"/>
  <c r="G87" i="4" l="1"/>
  <c r="G92" i="4"/>
  <c r="G75" i="4"/>
  <c r="G89" i="4"/>
  <c r="G81" i="4"/>
  <c r="G83" i="4"/>
  <c r="G78" i="4"/>
  <c r="G80" i="4"/>
  <c r="K44" i="4"/>
  <c r="L44" i="4"/>
  <c r="G76" i="4"/>
  <c r="K41" i="4"/>
  <c r="L42" i="4"/>
  <c r="K42" i="4"/>
  <c r="L45" i="4"/>
  <c r="K45" i="4"/>
  <c r="K43" i="4"/>
  <c r="L46" i="4" l="1"/>
  <c r="K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4" authorId="0" shapeId="0" xr:uid="{3FBA1AA1-8E87-4585-96E3-A5C0BDEE19CE}">
      <text>
        <r>
          <rPr>
            <b/>
            <sz val="9"/>
            <color indexed="81"/>
            <rFont val="Tahoma"/>
            <family val="2"/>
          </rPr>
          <t>Must be Canadian eligible cost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4D158932-6423-42E9-B6E1-8B90B8AE412E}">
      <text>
        <r>
          <rPr>
            <sz val="9"/>
            <color indexed="81"/>
            <rFont val="Tahoma"/>
            <family val="2"/>
          </rPr>
          <t xml:space="preserve">Knowledge Network, Télé-Québec, TFO and TVO
</t>
        </r>
      </text>
    </comment>
    <comment ref="E11" authorId="0" shapeId="0" xr:uid="{35C55C67-68DD-4F6B-B73D-01EC09F1F688}">
      <text>
        <r>
          <rPr>
            <b/>
            <sz val="9"/>
            <color indexed="81"/>
            <rFont val="Tahoma"/>
            <family val="2"/>
          </rPr>
          <t>If Yes, enter the Incentive amount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4" authorId="0" shapeId="0" xr:uid="{71761F99-1E8B-47C2-A55E-195363F39334}">
      <text>
        <r>
          <rPr>
            <b/>
            <sz val="9"/>
            <color indexed="81"/>
            <rFont val="Tahoma"/>
            <family val="2"/>
          </rPr>
          <t>Doit correspondre aux dépenses admissibles canadiennes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FB56F1D7-1A53-429C-9437-32FEDDDE7756}">
      <text>
        <r>
          <rPr>
            <sz val="9"/>
            <color indexed="81"/>
            <rFont val="Tahoma"/>
            <family val="2"/>
          </rPr>
          <t>Knowledge Network, Télé-Québec, TFO et TVO</t>
        </r>
      </text>
    </comment>
    <comment ref="E11" authorId="0" shapeId="0" xr:uid="{242935E5-ADC9-476E-9A6C-A90956AA7C90}">
      <text>
        <r>
          <rPr>
            <b/>
            <sz val="9"/>
            <color indexed="81"/>
            <rFont val="Tahoma"/>
            <family val="2"/>
          </rPr>
          <t>Si oui, veuillez entrer le montant de la mesure incitative dans cette cellule</t>
        </r>
      </text>
    </comment>
  </commentList>
</comments>
</file>

<file path=xl/sharedStrings.xml><?xml version="1.0" encoding="utf-8"?>
<sst xmlns="http://schemas.openxmlformats.org/spreadsheetml/2006/main" count="387" uniqueCount="269">
  <si>
    <t>Project
Name:</t>
  </si>
  <si>
    <t>Project No:</t>
  </si>
  <si>
    <t>Date:</t>
  </si>
  <si>
    <t>Please complete all green cells</t>
  </si>
  <si>
    <t>Budget/Final Cost</t>
  </si>
  <si>
    <t>Number of Episodes</t>
  </si>
  <si>
    <t>Episode Length 
(in Min.)</t>
  </si>
  <si>
    <t>Total Hours</t>
  </si>
  <si>
    <t xml:space="preserve">Budget/Hour </t>
  </si>
  <si>
    <t>Yes</t>
  </si>
  <si>
    <t>Is there an Incentive Program?</t>
  </si>
  <si>
    <t>Carbon calculator required?</t>
  </si>
  <si>
    <t>Described video required?</t>
  </si>
  <si>
    <t>Budget Category (Genre)</t>
  </si>
  <si>
    <t>(2): If the project has both English and French licences, do not complete the "Exclusivity" column</t>
  </si>
  <si>
    <r>
      <t xml:space="preserve">Broadcaster 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</si>
  <si>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r>
      <t xml:space="preserve">Start of Term Date </t>
    </r>
    <r>
      <rPr>
        <b/>
        <sz val="10"/>
        <color rgb="FF1F497D"/>
        <rFont val="Calibri"/>
        <family val="2"/>
        <scheme val="minor"/>
      </rPr>
      <t>(1)</t>
    </r>
  </si>
  <si>
    <t>End of Term Date</t>
  </si>
  <si>
    <t>Term Length
(in Months)</t>
  </si>
  <si>
    <r>
      <t xml:space="preserve">Exclusivity
(in Months) </t>
    </r>
    <r>
      <rPr>
        <b/>
        <sz val="10"/>
        <color rgb="FF1F497D"/>
        <rFont val="Calibri"/>
        <family val="2"/>
        <scheme val="minor"/>
      </rPr>
      <t xml:space="preserve"> (2)</t>
    </r>
  </si>
  <si>
    <t>Language</t>
  </si>
  <si>
    <t># 1</t>
  </si>
  <si>
    <t># 2</t>
  </si>
  <si>
    <t># 3</t>
  </si>
  <si>
    <t># 4</t>
  </si>
  <si>
    <t># 5</t>
  </si>
  <si>
    <t># 6</t>
  </si>
  <si>
    <t>Totals:</t>
  </si>
  <si>
    <t>Notes:</t>
  </si>
  <si>
    <r>
      <t>Broadcaster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</si>
  <si>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t>Maximum  Investment</t>
  </si>
  <si>
    <t xml:space="preserve">CMF Contribution </t>
  </si>
  <si>
    <t>% CMF Contribution of Budget</t>
  </si>
  <si>
    <t>Adjusted Term Length</t>
  </si>
  <si>
    <t>Adjusted Exclusivity</t>
  </si>
  <si>
    <t>Revised Start Date of Term</t>
  </si>
  <si>
    <t>N/A</t>
  </si>
  <si>
    <t>Totals :</t>
  </si>
  <si>
    <t xml:space="preserve"> </t>
  </si>
  <si>
    <t>÷</t>
  </si>
  <si>
    <t>x</t>
  </si>
  <si>
    <t>=</t>
  </si>
  <si>
    <t>Last Day of Maximum Term:</t>
  </si>
  <si>
    <t>Term Months</t>
  </si>
  <si>
    <t>Maximum Term</t>
  </si>
  <si>
    <t>Pro-Rated Amount</t>
  </si>
  <si>
    <t>Budget Category</t>
  </si>
  <si>
    <t>Formula</t>
  </si>
  <si>
    <t>Calculated Amount</t>
  </si>
  <si>
    <t xml:space="preserve">Threshold Respected? </t>
  </si>
  <si>
    <t>Over OR
 (Shortfall)</t>
  </si>
  <si>
    <t xml:space="preserve">International Entity </t>
  </si>
  <si>
    <t xml:space="preserve">     * CHILDREN &amp; YOUTH *</t>
  </si>
  <si>
    <t>Live-action
Budget less than $750,000/hour</t>
  </si>
  <si>
    <t>Lesser of 20% and $130,000/hour</t>
  </si>
  <si>
    <t>Live-action
Budget more than or equal to $750,000/hour</t>
  </si>
  <si>
    <t>$130,000/hour</t>
  </si>
  <si>
    <t>No</t>
  </si>
  <si>
    <t>100% Animated Eligible Projects</t>
  </si>
  <si>
    <t>10% of eligible costs</t>
  </si>
  <si>
    <t>Theatrically-released Animated Feature Films</t>
  </si>
  <si>
    <t>Lesser of 5% and $190,000 by project</t>
  </si>
  <si>
    <t xml:space="preserve">     * DOCUMENTARY *</t>
  </si>
  <si>
    <t>One-offs and mini-series (excluding feature-length documentaries)</t>
  </si>
  <si>
    <t>Lesser of 30% or $100,000/hour</t>
  </si>
  <si>
    <t>Series</t>
  </si>
  <si>
    <t>Lesser of 40% or $100,000/hour</t>
  </si>
  <si>
    <r>
      <t xml:space="preserve">All projects 
over 400K per hour  </t>
    </r>
    <r>
      <rPr>
        <u/>
        <sz val="10"/>
        <rFont val="Calibri"/>
        <family val="2"/>
        <scheme val="minor"/>
      </rPr>
      <t>excl. feature-length docs</t>
    </r>
    <r>
      <rPr>
        <sz val="10"/>
        <rFont val="Calibri"/>
        <family val="2"/>
        <scheme val="minor"/>
      </rPr>
      <t>)</t>
    </r>
  </si>
  <si>
    <t>$100,000/hour</t>
  </si>
  <si>
    <t>Feature-length documentary</t>
  </si>
  <si>
    <t>Lesser of 10% or $90,000/project</t>
  </si>
  <si>
    <t xml:space="preserve">     * DRAMA *</t>
  </si>
  <si>
    <t>All projects less than $800,000/hour</t>
  </si>
  <si>
    <t>Lesser of 45% and $315,000/hour</t>
  </si>
  <si>
    <t>Series or one-off equal/more than $800,000/hour</t>
  </si>
  <si>
    <t>$315,000/hour</t>
  </si>
  <si>
    <t>MOW or miniseries equal/more than $800,000/hour and less than $1,857,143/hour</t>
  </si>
  <si>
    <t>$235,000/hour</t>
  </si>
  <si>
    <t>MOW or miniseries greater than $1,857,143/hour</t>
  </si>
  <si>
    <t>12.5% of budget</t>
  </si>
  <si>
    <t>Theatrically-released Feature Films</t>
  </si>
  <si>
    <t>Lesser of 5% and
$230,000/project</t>
  </si>
  <si>
    <t>1/2-hour pilot greater than $700,000 per 1/2hour</t>
  </si>
  <si>
    <t>$205,000/1/2-hour</t>
  </si>
  <si>
    <t>1-hour pilot greater than $1,750,000/hour</t>
  </si>
  <si>
    <t>$525,000/hour</t>
  </si>
  <si>
    <t>English Regional Production Bonus</t>
  </si>
  <si>
    <t xml:space="preserve">     * VAPA *</t>
  </si>
  <si>
    <t>Northern Production Incentive</t>
  </si>
  <si>
    <t>Budget less than $750,000/hour</t>
  </si>
  <si>
    <t>Lesser of 40% or $240,000/hour</t>
  </si>
  <si>
    <t>Anglophone Minority Incentive</t>
  </si>
  <si>
    <t>Budget more than or equal to $750,000/hour</t>
  </si>
  <si>
    <t>$240,000/hour</t>
  </si>
  <si>
    <t>Maximum CMF Contribution:</t>
  </si>
  <si>
    <t xml:space="preserve">                       </t>
  </si>
  <si>
    <t xml:space="preserve">CMF Contribution    </t>
  </si>
  <si>
    <t>Incentive Programs</t>
  </si>
  <si>
    <t>CMF Maximum</t>
  </si>
  <si>
    <t>Max. Contribution Respected?</t>
  </si>
  <si>
    <t>Over</t>
  </si>
  <si>
    <t xml:space="preserve">Incentive Maximum </t>
  </si>
  <si>
    <t>Envelope Only</t>
  </si>
  <si>
    <t>Max of Eligible Costs</t>
  </si>
  <si>
    <t xml:space="preserve">15% of Eligible Costs 
(Max $1 000 000) Combined Programs 84% </t>
  </si>
  <si>
    <t xml:space="preserve">15% of Eligible Costs (Max $900 000) Combined Programs 84% </t>
  </si>
  <si>
    <t xml:space="preserve">30% of Eligible Costs 
(Max $200 000) Combined Programs 84% </t>
  </si>
  <si>
    <t>Titre du projet :</t>
  </si>
  <si>
    <t>No du projet :</t>
  </si>
  <si>
    <t>Date :</t>
  </si>
  <si>
    <t>Complétez toutes les cellules vertes</t>
  </si>
  <si>
    <t>Devis/Coût final de production</t>
  </si>
  <si>
    <t>Nombre 
d'épisodes</t>
  </si>
  <si>
    <t>Durée des épisodes
(en min.)</t>
  </si>
  <si>
    <t>Nombre total d'heures</t>
  </si>
  <si>
    <t>Devis/Heure</t>
  </si>
  <si>
    <t>Y a-t-il une mesure incitative ?</t>
  </si>
  <si>
    <t>Calculateur de carbone requis ?</t>
  </si>
  <si>
    <t>Vidéodescription requise?</t>
  </si>
  <si>
    <t>Catégorie de devis</t>
  </si>
  <si>
    <t>(2) : Lorsque le projet cumule des licences en français ET en anglais, ne pas compléter la colonne "Exclusivité"</t>
  </si>
  <si>
    <r>
      <t xml:space="preserve">Nom du télédiffuseur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</si>
  <si>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r>
      <t xml:space="preserve">Date de début de la période </t>
    </r>
    <r>
      <rPr>
        <b/>
        <sz val="10"/>
        <color rgb="FF1F497D"/>
        <rFont val="Calibri"/>
        <family val="2"/>
        <scheme val="minor"/>
      </rPr>
      <t>(1)</t>
    </r>
  </si>
  <si>
    <t>Date de fin de la période</t>
  </si>
  <si>
    <t>Durée de la période (en mois)</t>
  </si>
  <si>
    <r>
      <t xml:space="preserve">Exclusivité 
(en mois) </t>
    </r>
    <r>
      <rPr>
        <b/>
        <sz val="10"/>
        <color rgb="FF1F497D"/>
        <rFont val="Calibri"/>
        <family val="2"/>
        <scheme val="minor"/>
      </rPr>
      <t>(2)</t>
    </r>
  </si>
  <si>
    <t>Langue</t>
  </si>
  <si>
    <t>n° 1</t>
  </si>
  <si>
    <t>n° 2</t>
  </si>
  <si>
    <t>n° 3</t>
  </si>
  <si>
    <t>n° 4</t>
  </si>
  <si>
    <t>n° 5</t>
  </si>
  <si>
    <t>n° 6</t>
  </si>
  <si>
    <t>Totaux :</t>
  </si>
  <si>
    <t>Remarques :</t>
  </si>
  <si>
    <r>
      <t>Nom du télédiffuseur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</si>
  <si>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t>Montant admissible de la participation au capital</t>
  </si>
  <si>
    <t>Contribution  FMC admissible</t>
  </si>
  <si>
    <t xml:space="preserve"> % Contribution du FMC sur le devis</t>
  </si>
  <si>
    <t>Surplus
Montants non déclencheurs</t>
  </si>
  <si>
    <t>Durée ajustée</t>
  </si>
  <si>
    <t>Durée d'exclusivité ajustée</t>
  </si>
  <si>
    <t>Date révisée du début de la durée</t>
  </si>
  <si>
    <t>S/O</t>
  </si>
  <si>
    <t>Dernier jour de la durée maximale</t>
  </si>
  <si>
    <t>Durée
(en mois)</t>
  </si>
  <si>
    <t>Durée maximale</t>
  </si>
  <si>
    <t>Montant proportionnel</t>
  </si>
  <si>
    <t>Durée 
(en mois)</t>
  </si>
  <si>
    <t>Formule</t>
  </si>
  <si>
    <t>Calcul du montant</t>
  </si>
  <si>
    <t xml:space="preserve">Exigence seuil respectée ? </t>
  </si>
  <si>
    <t>Montant excédentaire OU (insuffisant)</t>
  </si>
  <si>
    <t>Entité internationale</t>
  </si>
  <si>
    <t>* Émissions pour enfants et jeunes *</t>
  </si>
  <si>
    <t>Tournage en direct, devis de moins de 750 000 $/heure</t>
  </si>
  <si>
    <t>Tournage en direct, devis égal ou supérieur à 750 000 $/heure</t>
  </si>
  <si>
    <t>Animation (excl. longs métrages d'animation lancés en salle)</t>
  </si>
  <si>
    <t>Longs métrages d’animation lancés en salle</t>
  </si>
  <si>
    <t>Moindre des 2:
5% des coûts admissibles ou 
120 000 $</t>
  </si>
  <si>
    <t>* Documentaires *</t>
  </si>
  <si>
    <r>
      <t>Devis inférieur à 100 000 $/heure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</si>
  <si>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entre 100 000 $ et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</si>
  <si>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supérieur à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</si>
  <si>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t>Moindre des 2: 15% des coûts admissibles ou 
60 000$/heure</t>
  </si>
  <si>
    <t>Long métrage documentaire</t>
  </si>
  <si>
    <r>
      <t>Moindre des 2: 10% des coûts admissibles ou 
60 000$/</t>
    </r>
    <r>
      <rPr>
        <sz val="10"/>
        <rFont val="Calibri"/>
        <family val="2"/>
        <scheme val="minor"/>
      </rPr>
      <t xml:space="preserve"> par projet</t>
    </r>
  </si>
  <si>
    <t>* Variétés et Arts de la scène *</t>
  </si>
  <si>
    <t>Devis inférieur à 750 000 $/heure</t>
  </si>
  <si>
    <t>Oui</t>
  </si>
  <si>
    <t>Devis égal ou supérieur à 750 000 $/heure</t>
  </si>
  <si>
    <t>Non</t>
  </si>
  <si>
    <t>Arts de la scène (de toutes envergures budgétaires)</t>
  </si>
  <si>
    <t>* Dramatiques *</t>
  </si>
  <si>
    <t>Devis inférieur à 250 000 $/heure</t>
  </si>
  <si>
    <t>Mesure incitative pour les projets nordiques</t>
  </si>
  <si>
    <t>Devis égal ou supérieur à 250 000 $ et inférieur à 800 000 $/heure</t>
  </si>
  <si>
    <t>Mesure incitative pour la production régionale de langue française au Québec</t>
  </si>
  <si>
    <t>Devis égal ou supérieur à 800 000 $/heure</t>
  </si>
  <si>
    <t>Moindre des 2:
20% des coûts admissibles ou 
195 000 $/heure</t>
  </si>
  <si>
    <t>Téléfilms</t>
  </si>
  <si>
    <t>Contribution maximale du FMC :</t>
  </si>
  <si>
    <t>Contribution du FMC</t>
  </si>
  <si>
    <t>Mesure incitative</t>
  </si>
  <si>
    <t>Contribution maximale du FMC</t>
  </si>
  <si>
    <t>Contribution maximale respectée?</t>
  </si>
  <si>
    <t>Montant excédentaire</t>
  </si>
  <si>
    <t>Contribution maximale des envevelopes</t>
  </si>
  <si>
    <t>Maximum de la mesure</t>
  </si>
  <si>
    <t>Enveloppes seulement</t>
  </si>
  <si>
    <t>Maximum des dépenses admissibles</t>
  </si>
  <si>
    <t>30% des dépenses admissibles (Max 200 000 $) (84% si combiné avec autres programmes)</t>
  </si>
  <si>
    <t>15% des dépenses admissibles (Max 225 000 $) (84% si combiné avec autres programmes)</t>
  </si>
  <si>
    <t>Allowable</t>
  </si>
  <si>
    <r>
      <t xml:space="preserve">Is the ECD a related party to the Applicant?
</t>
    </r>
    <r>
      <rPr>
        <b/>
        <sz val="10"/>
        <color rgb="FF1F497D"/>
        <rFont val="Calibri"/>
        <family val="2"/>
        <scheme val="minor"/>
      </rPr>
      <t>(Choose from list)</t>
    </r>
  </si>
  <si>
    <t>Canadian</t>
  </si>
  <si>
    <t>International</t>
  </si>
  <si>
    <t>Don't delete this row</t>
  </si>
  <si>
    <t>Only an Eligible (i) Licence Fee; (ii) Distribution Advance; OR (iii) Financial Contribution can be entered per row</t>
  </si>
  <si>
    <t>Is the Maximum Term within limits?</t>
  </si>
  <si>
    <t>Distributor Maximum Term:</t>
  </si>
  <si>
    <t>Formulas for B56/B58/B60 etc.</t>
  </si>
  <si>
    <t>Broadcaster &amp; Distributor Envelope Programs</t>
  </si>
  <si>
    <t xml:space="preserve">BEP &amp; DEP Maximum </t>
  </si>
  <si>
    <t>EDA+Can+Not related</t>
  </si>
  <si>
    <t>Distributor
(EDA)</t>
  </si>
  <si>
    <r>
      <t xml:space="preserve">International Entity
(Intl. Right)
</t>
    </r>
    <r>
      <rPr>
        <sz val="10"/>
        <rFont val="Calibri"/>
        <family val="2"/>
        <scheme val="minor"/>
      </rPr>
      <t>Children &amp; Youth
Documentary</t>
    </r>
  </si>
  <si>
    <t>Broadcaster
(ELF)</t>
  </si>
  <si>
    <t>Eligible Market Commitment Thresholds:</t>
  </si>
  <si>
    <t>Total Eligible Market Commitment</t>
  </si>
  <si>
    <t>% Total Eligible Market Commitment</t>
  </si>
  <si>
    <r>
      <t>Eligible Canadian Distributor ("ECD") Territory</t>
    </r>
    <r>
      <rPr>
        <b/>
        <sz val="10"/>
        <color rgb="FF1F497D"/>
        <rFont val="Calibri"/>
        <family val="2"/>
        <scheme val="minor"/>
      </rPr>
      <t xml:space="preserve">
(Choose from list)</t>
    </r>
  </si>
  <si>
    <r>
      <t xml:space="preserve">Intl. Entity
(EFC) </t>
    </r>
    <r>
      <rPr>
        <b/>
        <sz val="10"/>
        <color rgb="FF1F497D"/>
        <rFont val="Calibri"/>
        <family val="2"/>
        <scheme val="minor"/>
      </rPr>
      <t>(2)</t>
    </r>
  </si>
  <si>
    <t>Is the Max. Term applicable to the Distributor?</t>
  </si>
  <si>
    <t>(2): Only the included allowable EFC will appear in the Intl. Entity column (I)</t>
  </si>
  <si>
    <t>Maximum Term does not apply to (i) Eligible Canadian Distributors that are a related party to the Applicant; (ii) International Territory Exploitation Right</t>
  </si>
  <si>
    <t>This program requires Eligible Licence Fee(s) from a Canadian Broadcaster(s)</t>
  </si>
  <si>
    <r>
      <t xml:space="preserve">Programme des enveloppes 
</t>
    </r>
    <r>
      <rPr>
        <b/>
        <u/>
        <sz val="10"/>
        <color rgb="FF000000"/>
        <rFont val="Calibri"/>
        <family val="2"/>
        <scheme val="minor"/>
      </rPr>
      <t>des télédiffuseurs</t>
    </r>
    <r>
      <rPr>
        <b/>
        <sz val="10"/>
        <color indexed="8"/>
        <rFont val="Calibri"/>
        <family val="2"/>
        <scheme val="minor"/>
      </rPr>
      <t xml:space="preserve"> et </t>
    </r>
    <r>
      <rPr>
        <b/>
        <u/>
        <sz val="10"/>
        <color rgb="FF000000"/>
        <rFont val="Calibri"/>
        <family val="2"/>
        <scheme val="minor"/>
      </rPr>
      <t>des distributeurs</t>
    </r>
  </si>
  <si>
    <r>
      <t xml:space="preserve">CMF  Contribution  </t>
    </r>
    <r>
      <rPr>
        <b/>
        <sz val="10"/>
        <color rgb="FF1F497D"/>
        <rFont val="Calibri"/>
        <family val="2"/>
        <scheme val="minor"/>
      </rPr>
      <t>(BEP and DEP contribution)</t>
    </r>
  </si>
  <si>
    <t>Les demandes dans ce programme sont tenues d’inclure des droits de diffusion admissibles d’un (ou des) Télédiffuseur(s) canadien(s)</t>
  </si>
  <si>
    <r>
      <t xml:space="preserve">Entité internationale
(droits int.)
</t>
    </r>
    <r>
      <rPr>
        <sz val="10"/>
        <rFont val="Calibri"/>
        <family val="2"/>
        <scheme val="minor"/>
      </rPr>
      <t>Enfants et jeunes Documentaires</t>
    </r>
  </si>
  <si>
    <r>
      <t xml:space="preserve">Le Distributeur est-il apparenté au Requérant?
</t>
    </r>
    <r>
      <rPr>
        <b/>
        <sz val="10"/>
        <color rgb="FF1F497D"/>
        <rFont val="Calibri"/>
        <family val="2"/>
        <scheme val="minor"/>
      </rPr>
      <t>(SVP Utilisez la liste déroulante)</t>
    </r>
  </si>
  <si>
    <r>
      <t>Territoire du Distributeur</t>
    </r>
    <r>
      <rPr>
        <b/>
        <sz val="10"/>
        <color rgb="FF1F497D"/>
        <rFont val="Calibri"/>
        <family val="2"/>
        <scheme val="minor"/>
      </rPr>
      <t xml:space="preserve">
</t>
    </r>
    <r>
      <rPr>
        <b/>
        <sz val="9"/>
        <color rgb="FF1F497D"/>
        <rFont val="Calibri"/>
        <family val="2"/>
        <scheme val="minor"/>
      </rPr>
      <t>(SVP Utilisez la liste déroulante)</t>
    </r>
  </si>
  <si>
    <t>Canadien</t>
  </si>
  <si>
    <t>Maximum Terms, Envelope Programs Contributions, Eligible Licence Fees (ELF), Eligible Distribution Advance (EDA) and Eligible Financial Contribution (EFC):</t>
  </si>
  <si>
    <t>Télédiffuseur
(DDA)</t>
  </si>
  <si>
    <t>Distributeur
(ADA)</t>
  </si>
  <si>
    <t>Totaux</t>
  </si>
  <si>
    <t>Formulas for B56/B59/B60 etc.</t>
  </si>
  <si>
    <t>La durée maximale ne s’applique pas (i) à un Distributeur canadien admissible apparenté au Requérant; (ii) au droit d’exploitation à l’international</t>
  </si>
  <si>
    <t>*Reminder, section 3.2 of the Broadcaster Envelope Manual: Use of the Alternative Access Allocation requires an accompanying minimum Eligible Licence or Development Fee, as applicable, of $5,000 in the application</t>
  </si>
  <si>
    <t>*Reminder, section 3.2 of the Distributor Envelope Manual: Use of the Alternative Access Allocation requires an accompanying minimum Eligible Distribution Advance of at least $5,000 in the application</t>
  </si>
  <si>
    <t>La durée maximale, est-elle applicable?</t>
  </si>
  <si>
    <t>La durée maximale, est-elle respectée?</t>
  </si>
  <si>
    <t>Durée maximale des droits acquis par le distributeur</t>
  </si>
  <si>
    <t>*Rappel, section 3.2 du Guide des enveloppes des distributeurs : pour avoir recours aux enveloppes de l’accès parallèle, il faudra verser une Avance de distribution admissible d’au moins 5 000 $ au moment du dépôt de la demande</t>
  </si>
  <si>
    <t>Surplus
No-trigger amounts</t>
  </si>
  <si>
    <r>
      <t xml:space="preserve">Droits de diffusion admissibles </t>
    </r>
    <r>
      <rPr>
        <b/>
        <sz val="10"/>
        <color theme="3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>*</t>
    </r>
  </si>
  <si>
    <r>
      <t>Avance de distribution admissible</t>
    </r>
    <r>
      <rPr>
        <b/>
        <sz val="10"/>
        <color theme="3"/>
        <rFont val="Calibri"/>
        <family val="2"/>
        <scheme val="minor"/>
      </rPr>
      <t xml:space="preserve"> (1)</t>
    </r>
    <r>
      <rPr>
        <b/>
        <sz val="10"/>
        <rFont val="Calibri"/>
        <family val="2"/>
        <scheme val="minor"/>
      </rPr>
      <t>*</t>
    </r>
  </si>
  <si>
    <r>
      <t xml:space="preserve">Eligible Distribution Advance </t>
    </r>
    <r>
      <rPr>
        <b/>
        <sz val="10"/>
        <color theme="3"/>
        <rFont val="Calibri"/>
        <family val="2"/>
        <scheme val="minor"/>
      </rPr>
      <t xml:space="preserve"> (1)*</t>
    </r>
  </si>
  <si>
    <r>
      <t xml:space="preserve">Contribution FMC -
</t>
    </r>
    <r>
      <rPr>
        <b/>
        <sz val="8"/>
        <color rgb="FF1F497D"/>
        <rFont val="Calibri"/>
        <family val="2"/>
        <scheme val="minor"/>
      </rPr>
      <t>Env. des télédiffuseurs et des distributeurs</t>
    </r>
  </si>
  <si>
    <r>
      <t xml:space="preserve">Entité internationale (EFA) </t>
    </r>
    <r>
      <rPr>
        <b/>
        <sz val="10"/>
        <color rgb="FF1F497D"/>
        <rFont val="Calibri"/>
        <family val="2"/>
        <scheme val="minor"/>
      </rPr>
      <t>(2)</t>
    </r>
  </si>
  <si>
    <t>(2): Seul l'EFA permis apparaîtra dans la colonne pour l’Entité internationale (I)</t>
  </si>
  <si>
    <t>Broadcaster and Distributor Maximum Term Calculation:</t>
  </si>
  <si>
    <t>Calcul de la durée maximale des droits de diffusion et des avances de distribution admissibles :</t>
  </si>
  <si>
    <r>
      <rPr>
        <b/>
        <sz val="12"/>
        <rFont val="Calibri"/>
        <family val="2"/>
        <scheme val="minor"/>
      </rPr>
      <t xml:space="preserve">2026-2027 - Eligible Market Commitment Thresholds, Maximum Contribution and Term Calculation Sheet </t>
    </r>
    <r>
      <rPr>
        <b/>
        <sz val="10"/>
        <rFont val="Calibri"/>
        <family val="2"/>
        <scheme val="minor"/>
      </rPr>
      <t xml:space="preserve">
</t>
    </r>
    <r>
      <rPr>
        <b/>
        <u/>
        <sz val="14"/>
        <rFont val="Calibri"/>
        <family val="2"/>
        <scheme val="minor"/>
      </rPr>
      <t>English-Language</t>
    </r>
    <r>
      <rPr>
        <b/>
        <sz val="14"/>
        <rFont val="Calibri"/>
        <family val="2"/>
        <scheme val="minor"/>
      </rPr>
      <t xml:space="preserve"> *  Broadcaster Envelope Program (BEP)  •  Distributor Envelope Program (DEP)
Regional Production Funding
</t>
    </r>
    <r>
      <rPr>
        <b/>
        <sz val="10"/>
        <color rgb="FF0070C0"/>
        <rFont val="Calibri"/>
        <family val="2"/>
        <scheme val="minor"/>
      </rPr>
      <t>*voir onglet séparé au bas pour les projets en français</t>
    </r>
  </si>
  <si>
    <t>Durées maximales, contributions des programmes des enveloppes, Droits de diffusion admissibles (« DDA ») et Avance de distribution admissible (« ADA ») et Engagement financier admissible (« EFA ») :</t>
  </si>
  <si>
    <t>MUST be completed for the distributor</t>
  </si>
  <si>
    <t>Doit être complété pour les
distributeurs</t>
  </si>
  <si>
    <t xml:space="preserve"> % sur le devis des
engagements admissibles du marché</t>
  </si>
  <si>
    <t>Total des engagements admissibles du marché</t>
  </si>
  <si>
    <r>
      <t xml:space="preserve">(1): Enter </t>
    </r>
    <r>
      <rPr>
        <b/>
        <i/>
        <u/>
        <sz val="10"/>
        <color rgb="FF1F497D"/>
        <rFont val="Calibri"/>
        <family val="2"/>
      </rPr>
      <t>first</t>
    </r>
    <r>
      <rPr>
        <b/>
        <i/>
        <sz val="10"/>
        <color rgb="FF1F497D"/>
        <rFont val="Calibri"/>
        <family val="2"/>
      </rPr>
      <t xml:space="preserve"> the Canadian Broadcaster's Eligible licence Fee AND the Eligible Distribution Advance for the </t>
    </r>
    <r>
      <rPr>
        <b/>
        <i/>
        <u/>
        <sz val="10"/>
        <color rgb="FF1F497D"/>
        <rFont val="Calibri"/>
        <family val="2"/>
      </rPr>
      <t>Canadian Exploitation Right</t>
    </r>
    <r>
      <rPr>
        <b/>
        <i/>
        <sz val="10"/>
        <color rgb="FF1F497D"/>
        <rFont val="Calibri"/>
        <family val="2"/>
      </rPr>
      <t xml:space="preserve"> from the </t>
    </r>
    <r>
      <rPr>
        <b/>
        <i/>
        <u/>
        <sz val="10"/>
        <color rgb="FF1F497D"/>
        <rFont val="Calibri"/>
        <family val="2"/>
      </rPr>
      <t>non-related</t>
    </r>
    <r>
      <rPr>
        <b/>
        <i/>
        <sz val="10"/>
        <color rgb="FF1F497D"/>
        <rFont val="Calibri"/>
        <family val="2"/>
      </rPr>
      <t xml:space="preserve"> Eligible Canadian Distributor </t>
    </r>
    <r>
      <rPr>
        <b/>
        <i/>
        <u/>
        <sz val="10"/>
        <color rgb="FF1F497D"/>
        <rFont val="Calibri"/>
        <family val="2"/>
      </rPr>
      <t xml:space="preserve">in order of start </t>
    </r>
    <r>
      <rPr>
        <b/>
        <i/>
        <sz val="10"/>
        <color rgb="FF1F497D"/>
        <rFont val="Calibri"/>
        <family val="2"/>
      </rPr>
      <t>of term dates</t>
    </r>
  </si>
  <si>
    <r>
      <t xml:space="preserve">(1) : Entrez </t>
    </r>
    <r>
      <rPr>
        <b/>
        <i/>
        <u/>
        <sz val="10"/>
        <color theme="3"/>
        <rFont val="Calibri"/>
        <family val="2"/>
        <scheme val="minor"/>
      </rPr>
      <t>en premier</t>
    </r>
    <r>
      <rPr>
        <b/>
        <i/>
        <sz val="10"/>
        <color theme="3"/>
        <rFont val="Calibri"/>
        <family val="2"/>
        <scheme val="minor"/>
      </rPr>
      <t xml:space="preserve"> et par </t>
    </r>
    <r>
      <rPr>
        <b/>
        <i/>
        <u/>
        <sz val="10"/>
        <color theme="3"/>
        <rFont val="Calibri"/>
        <family val="2"/>
        <scheme val="minor"/>
      </rPr>
      <t>ordre croissant</t>
    </r>
    <r>
      <rPr>
        <b/>
        <i/>
        <sz val="10"/>
        <color theme="3"/>
        <rFont val="Calibri"/>
        <family val="2"/>
        <scheme val="minor"/>
      </rPr>
      <t xml:space="preserve"> de début de la période des droits, les Droits de diffusion admissibles ET l'Avance de distribution admissible pour les </t>
    </r>
    <r>
      <rPr>
        <b/>
        <i/>
        <u/>
        <sz val="10"/>
        <color theme="3"/>
        <rFont val="Calibri"/>
        <family val="2"/>
        <scheme val="minor"/>
      </rPr>
      <t xml:space="preserve">droits d'exploitation au Canada </t>
    </r>
    <r>
      <rPr>
        <b/>
        <i/>
        <sz val="10"/>
        <color theme="3"/>
        <rFont val="Calibri"/>
        <family val="2"/>
        <scheme val="minor"/>
      </rPr>
      <t>du Distributeur canadien admissible</t>
    </r>
    <r>
      <rPr>
        <b/>
        <i/>
        <u/>
        <sz val="10"/>
        <color theme="3"/>
        <rFont val="Calibri"/>
        <family val="2"/>
        <scheme val="minor"/>
      </rPr>
      <t xml:space="preserve"> non apparenté</t>
    </r>
  </si>
  <si>
    <t>Un seul montant admissible pour (i) les Droits de diffusion, (ii) l'Avance de distribution ou (iii) l'Engagement financier peut être entré par ligne</t>
  </si>
  <si>
    <t>Exigence seuil pour les engagements admissibles du marché :</t>
  </si>
  <si>
    <t>Montant permis</t>
  </si>
  <si>
    <r>
      <rPr>
        <b/>
        <sz val="12"/>
        <rFont val="Calibri"/>
        <family val="2"/>
        <scheme val="minor"/>
      </rPr>
      <t>2026-2027 - Feuille de calcul des exigences seuil pour les engagements admissibles du marché, de la contribution et durée maximale</t>
    </r>
    <r>
      <rPr>
        <b/>
        <sz val="10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Programme des enveloppes des télédiffuseurs (ET)  •  Programme des enveloppes des distributeurs (ED)
Financements pour la production régionale * Langue française  
</t>
    </r>
    <r>
      <rPr>
        <b/>
        <sz val="10"/>
        <color rgb="FFFF0000"/>
        <rFont val="Calibri"/>
        <family val="2"/>
        <scheme val="minor"/>
      </rPr>
      <t>* see different sheet at the bottom for an English project</t>
    </r>
  </si>
  <si>
    <r>
      <t xml:space="preserve">Canadian
Licence Fee </t>
    </r>
    <r>
      <rPr>
        <b/>
        <sz val="10"/>
        <color rgb="FF1F497D"/>
        <rFont val="Calibri"/>
        <family val="2"/>
        <scheme val="minor"/>
      </rPr>
      <t>(1)*</t>
    </r>
  </si>
  <si>
    <r>
      <t xml:space="preserve">Reminder: </t>
    </r>
    <r>
      <rPr>
        <b/>
        <i/>
        <u/>
        <sz val="9"/>
        <color theme="3"/>
        <rFont val="Calibri"/>
        <family val="2"/>
        <scheme val="minor"/>
      </rPr>
      <t>Pilots</t>
    </r>
    <r>
      <rPr>
        <b/>
        <i/>
        <sz val="9"/>
        <color theme="3"/>
        <rFont val="Calibri"/>
        <family val="2"/>
        <scheme val="minor"/>
      </rPr>
      <t xml:space="preserve"> and </t>
    </r>
    <r>
      <rPr>
        <b/>
        <i/>
        <u/>
        <sz val="9"/>
        <color theme="3"/>
        <rFont val="Calibri"/>
        <family val="2"/>
        <scheme val="minor"/>
      </rPr>
      <t>feature films in the Drama</t>
    </r>
    <r>
      <rPr>
        <b/>
        <i/>
        <sz val="9"/>
        <color theme="3"/>
        <rFont val="Calibri"/>
        <family val="2"/>
        <scheme val="minor"/>
      </rPr>
      <t xml:space="preserve"> programming genre are </t>
    </r>
    <r>
      <rPr>
        <b/>
        <i/>
        <sz val="9"/>
        <color rgb="FFFF0000"/>
        <rFont val="Calibri"/>
        <family val="2"/>
        <scheme val="minor"/>
      </rPr>
      <t>not eligible</t>
    </r>
    <r>
      <rPr>
        <b/>
        <i/>
        <sz val="9"/>
        <color theme="3"/>
        <rFont val="Calibri"/>
        <family val="2"/>
        <scheme val="minor"/>
      </rPr>
      <t xml:space="preserve"> for funding in the Distributor Envelope Program</t>
    </r>
  </si>
  <si>
    <r>
      <t>Rappel: les</t>
    </r>
    <r>
      <rPr>
        <b/>
        <i/>
        <u/>
        <sz val="9"/>
        <color theme="3"/>
        <rFont val="Calibri"/>
        <family val="2"/>
        <scheme val="minor"/>
      </rPr>
      <t xml:space="preserve"> pilotes</t>
    </r>
    <r>
      <rPr>
        <b/>
        <i/>
        <sz val="9"/>
        <color theme="3"/>
        <rFont val="Calibri"/>
        <family val="2"/>
        <scheme val="minor"/>
      </rPr>
      <t xml:space="preserve"> et</t>
    </r>
    <r>
      <rPr>
        <b/>
        <i/>
        <u/>
        <sz val="9"/>
        <color theme="3"/>
        <rFont val="Calibri"/>
        <family val="2"/>
        <scheme val="minor"/>
      </rPr>
      <t xml:space="preserve"> les longs métrages dans le genre dramatique</t>
    </r>
    <r>
      <rPr>
        <b/>
        <i/>
        <sz val="9"/>
        <color theme="3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 xml:space="preserve">ne sont pas admissibles </t>
    </r>
    <r>
      <rPr>
        <b/>
        <i/>
        <sz val="9"/>
        <color rgb="FF1F497D"/>
        <rFont val="Calibri"/>
        <family val="2"/>
        <scheme val="minor"/>
      </rPr>
      <t>au Programme des enveloppes des distributeurs</t>
    </r>
  </si>
  <si>
    <t>*Rappel, section 3.2 du Guide des enveloppes des télédiffuseurs : pour avoir recours aux enveloppes de l’accès parallèle, il faudra avoir obtenu un droit de diffusion d’au moins 5 000 $ au moment du dépôt de la demande</t>
  </si>
  <si>
    <r>
      <t xml:space="preserve">Allocation minimale requise d’enveloppe de </t>
    </r>
    <r>
      <rPr>
        <b/>
        <u/>
        <sz val="10"/>
        <color rgb="FF000000"/>
        <rFont val="Calibri"/>
        <family val="2"/>
        <scheme val="minor"/>
      </rPr>
      <t>langue française</t>
    </r>
    <r>
      <rPr>
        <b/>
        <sz val="10"/>
        <color rgb="FF000000"/>
        <rFont val="Calibri"/>
        <family val="2"/>
        <scheme val="minor"/>
      </rPr>
      <t xml:space="preserve"> </t>
    </r>
  </si>
  <si>
    <r>
      <t xml:space="preserve">Les diffuseurs sont-ils </t>
    </r>
    <r>
      <rPr>
        <b/>
        <u/>
        <sz val="10"/>
        <rFont val="Calibri"/>
        <family val="2"/>
        <scheme val="minor"/>
      </rPr>
      <t>tous</t>
    </r>
    <r>
      <rPr>
        <b/>
        <sz val="10"/>
        <rFont val="Calibri"/>
        <family val="2"/>
        <scheme val="minor"/>
      </rPr>
      <t xml:space="preserve"> éducatifs ?</t>
    </r>
  </si>
  <si>
    <r>
      <t xml:space="preserve">Are </t>
    </r>
    <r>
      <rPr>
        <b/>
        <u/>
        <sz val="10"/>
        <rFont val="Calibri"/>
        <family val="2"/>
        <scheme val="minor"/>
      </rPr>
      <t>all</t>
    </r>
    <r>
      <rPr>
        <b/>
        <sz val="10"/>
        <rFont val="Calibri"/>
        <family val="2"/>
        <scheme val="minor"/>
      </rPr>
      <t xml:space="preserve"> Broadcasters Educational?</t>
    </r>
  </si>
  <si>
    <r>
      <t xml:space="preserve">Required Minimum </t>
    </r>
    <r>
      <rPr>
        <b/>
        <u/>
        <sz val="10"/>
        <color rgb="FF000000"/>
        <rFont val="Calibri"/>
        <family val="2"/>
        <scheme val="minor"/>
      </rPr>
      <t>English</t>
    </r>
    <r>
      <rPr>
        <b/>
        <sz val="10"/>
        <color rgb="FF000000"/>
        <rFont val="Calibri"/>
        <family val="2"/>
        <scheme val="minor"/>
      </rPr>
      <t xml:space="preserve"> Envelope Allocation Amount</t>
    </r>
  </si>
  <si>
    <t>Indiquez le montant d’enveloppe de langue française du Programme des télédiffuseurs et/ou du Programme des distributeurs</t>
  </si>
  <si>
    <r>
      <t xml:space="preserve">Enter the </t>
    </r>
    <r>
      <rPr>
        <b/>
        <u/>
        <sz val="10"/>
        <color rgb="FF000000"/>
        <rFont val="Calibri"/>
        <family val="2"/>
        <scheme val="minor"/>
      </rPr>
      <t>English</t>
    </r>
    <r>
      <rPr>
        <b/>
        <sz val="10"/>
        <color rgb="FF000000"/>
        <rFont val="Calibri"/>
        <family val="2"/>
        <scheme val="minor"/>
      </rPr>
      <t xml:space="preserve"> Envelope Allocation from the BEP 
and/or the DEP</t>
    </r>
  </si>
  <si>
    <t>Montant de l'allocation d'enveloppe excédentaire/(insufissant) :</t>
  </si>
  <si>
    <t xml:space="preserve">Surplus/(Insufficient) English Envelope Allocation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</si>
</sst>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#,##0\ &quot;$&quot;_);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&quot;$&quot;#,##0.00_);\(&quot;$&quot;#,##0.00\)"/>
    <numFmt numFmtId="168" formatCode="0.0%"/>
    <numFmt numFmtId="169" formatCode="[$-409]d\-mmm\-yyyy;@"/>
    <numFmt numFmtId="170" formatCode=";;;"/>
    <numFmt numFmtId="171" formatCode="&quot;$&quot;#,##0"/>
    <numFmt numFmtId="172" formatCode="yyyy\-mm\-dd;@"/>
    <numFmt numFmtId="173" formatCode="[$$-1009]#,##0"/>
    <numFmt numFmtId="174" formatCode="#,##0.0_);\(#,##0.0\)"/>
    <numFmt numFmtId="175" formatCode="[$$-409]#,##0_);\([$$-409]#,##0\)"/>
    <numFmt numFmtId="176" formatCode="[$-40C]d\-mmm\-yyyy;@"/>
    <numFmt numFmtId="177" formatCode="#,##0\ [$$-C0C]_);\(#,##0\ [$$-C0C]\)"/>
    <numFmt numFmtId="178" formatCode="#,##0\ &quot;$&quot;"/>
    <numFmt numFmtId="179" formatCode="_ * #,##0_)\ [$$-C0C]_ ;_ * \(#,##0\)\ [$$-C0C]_ ;_ * &quot;-&quot;??_)\ [$$-C0C]_ ;_ @_ "/>
    <numFmt numFmtId="180" formatCode="#,##0\ [$$-C0C]"/>
    <numFmt numFmtId="181" formatCode="#,##0\ [$$-C0C]_);[Red]\(#,##0\ [$$-C0C]\)"/>
    <numFmt numFmtId="182" formatCode="[$$-1009]#,##0;[Red]\-[$$-1009]#,##0"/>
    <numFmt numFmtId="183" formatCode="[$$-1009]#,##0;\-[$$-1009]#,##0"/>
  </numFmts>
  <fonts count="79" x14ac:knownFonts="1">
    <font>
      <sz val="12"/>
      <name val="Arial"/>
    </font>
    <font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i/>
      <sz val="9"/>
      <name val="Calibri"/>
      <family val="2"/>
      <scheme val="minor"/>
    </font>
    <font>
      <b/>
      <i/>
      <sz val="10"/>
      <color rgb="FF1F497D"/>
      <name val="Calibri"/>
      <family val="2"/>
    </font>
    <font>
      <b/>
      <sz val="8"/>
      <color rgb="FF1F497D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9"/>
      <color rgb="FF1F497D"/>
      <name val="Calibri"/>
      <family val="2"/>
      <scheme val="minor"/>
    </font>
    <font>
      <b/>
      <i/>
      <u/>
      <sz val="10"/>
      <color theme="3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b/>
      <i/>
      <u/>
      <sz val="10"/>
      <color rgb="FF1F497D"/>
      <name val="Calibri"/>
      <family val="2"/>
    </font>
    <font>
      <b/>
      <i/>
      <u/>
      <sz val="9"/>
      <color theme="3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9"/>
      <color rgb="FF1F497D"/>
      <name val="Calibri"/>
      <family val="2"/>
      <scheme val="minor"/>
    </font>
    <font>
      <b/>
      <u/>
      <sz val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rgb="FFF8A15A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9" fillId="0" borderId="0" xfId="2" applyFont="1" applyFill="1" applyBorder="1" applyAlignment="1" applyProtection="1">
      <alignment horizontal="center" vertical="center" wrapText="1"/>
    </xf>
    <xf numFmtId="165" fontId="10" fillId="0" borderId="0" xfId="2" applyFont="1" applyFill="1" applyBorder="1" applyAlignment="1" applyProtection="1">
      <alignment horizontal="left" vertical="center" wrapText="1"/>
    </xf>
    <xf numFmtId="165" fontId="16" fillId="0" borderId="0" xfId="2" applyFont="1" applyFill="1" applyBorder="1" applyAlignment="1" applyProtection="1">
      <alignment vertical="center" wrapText="1"/>
    </xf>
    <xf numFmtId="167" fontId="3" fillId="0" borderId="0" xfId="2" applyNumberFormat="1" applyFont="1" applyFill="1" applyBorder="1" applyAlignment="1" applyProtection="1">
      <alignment horizontal="center" vertical="center" wrapText="1"/>
    </xf>
    <xf numFmtId="165" fontId="3" fillId="0" borderId="0" xfId="2" applyFont="1" applyFill="1" applyBorder="1" applyAlignment="1" applyProtection="1">
      <alignment horizontal="center" vertical="center" wrapText="1"/>
    </xf>
    <xf numFmtId="37" fontId="3" fillId="0" borderId="0" xfId="2" applyNumberFormat="1" applyFont="1" applyFill="1" applyBorder="1" applyAlignment="1" applyProtection="1">
      <alignment horizontal="center" vertical="center" wrapText="1"/>
    </xf>
    <xf numFmtId="170" fontId="6" fillId="0" borderId="0" xfId="0" applyNumberFormat="1" applyFont="1" applyAlignment="1" applyProtection="1">
      <alignment horizontal="right" vertical="center" wrapText="1"/>
      <protection locked="0"/>
    </xf>
    <xf numFmtId="167" fontId="20" fillId="0" borderId="0" xfId="2" applyNumberFormat="1" applyFont="1" applyFill="1" applyBorder="1" applyAlignment="1" applyProtection="1">
      <alignment horizontal="center" vertical="center" wrapText="1"/>
    </xf>
    <xf numFmtId="165" fontId="21" fillId="0" borderId="0" xfId="2" applyFont="1" applyFill="1" applyBorder="1" applyAlignment="1" applyProtection="1">
      <alignment horizontal="center" vertical="center" wrapText="1"/>
    </xf>
    <xf numFmtId="165" fontId="19" fillId="0" borderId="4" xfId="2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9" fontId="25" fillId="3" borderId="5" xfId="3" applyFont="1" applyFill="1" applyBorder="1" applyAlignment="1" applyProtection="1">
      <alignment horizontal="center" vertical="center" wrapText="1"/>
    </xf>
    <xf numFmtId="175" fontId="26" fillId="5" borderId="5" xfId="2" applyNumberFormat="1" applyFont="1" applyFill="1" applyBorder="1" applyAlignment="1" applyProtection="1">
      <alignment horizontal="center" vertical="center" wrapText="1"/>
      <protection locked="0"/>
    </xf>
    <xf numFmtId="37" fontId="26" fillId="2" borderId="5" xfId="2" applyNumberFormat="1" applyFont="1" applyFill="1" applyBorder="1" applyAlignment="1" applyProtection="1">
      <alignment horizontal="center" vertical="center" wrapText="1"/>
      <protection locked="0"/>
    </xf>
    <xf numFmtId="174" fontId="26" fillId="3" borderId="5" xfId="2" applyNumberFormat="1" applyFont="1" applyFill="1" applyBorder="1" applyAlignment="1" applyProtection="1">
      <alignment horizontal="center" vertical="center" wrapText="1"/>
    </xf>
    <xf numFmtId="49" fontId="26" fillId="2" borderId="5" xfId="2" applyNumberFormat="1" applyFont="1" applyFill="1" applyBorder="1" applyAlignment="1" applyProtection="1">
      <alignment horizontal="center" vertical="center" wrapText="1"/>
      <protection locked="0"/>
    </xf>
    <xf numFmtId="173" fontId="25" fillId="0" borderId="19" xfId="2" applyNumberFormat="1" applyFont="1" applyFill="1" applyBorder="1" applyAlignment="1" applyProtection="1">
      <alignment horizontal="center" vertical="center" wrapText="1"/>
    </xf>
    <xf numFmtId="173" fontId="25" fillId="0" borderId="19" xfId="2" applyNumberFormat="1" applyFont="1" applyFill="1" applyBorder="1" applyAlignment="1" applyProtection="1">
      <alignment horizontal="right" vertical="center" wrapText="1"/>
    </xf>
    <xf numFmtId="0" fontId="25" fillId="16" borderId="5" xfId="0" applyFont="1" applyFill="1" applyBorder="1" applyAlignment="1">
      <alignment horizontal="center" vertical="center" wrapText="1"/>
    </xf>
    <xf numFmtId="5" fontId="2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" applyFont="1"/>
    <xf numFmtId="0" fontId="26" fillId="0" borderId="0" xfId="4" applyFont="1" applyAlignment="1">
      <alignment horizontal="center"/>
    </xf>
    <xf numFmtId="0" fontId="26" fillId="0" borderId="0" xfId="4" applyFont="1" applyAlignment="1">
      <alignment vertical="center"/>
    </xf>
    <xf numFmtId="0" fontId="26" fillId="0" borderId="0" xfId="4" applyFont="1" applyAlignment="1">
      <alignment horizontal="center" vertical="center"/>
    </xf>
    <xf numFmtId="0" fontId="30" fillId="0" borderId="0" xfId="4" applyFont="1" applyAlignment="1">
      <alignment vertical="center"/>
    </xf>
    <xf numFmtId="0" fontId="40" fillId="0" borderId="0" xfId="4" applyFont="1" applyAlignment="1">
      <alignment vertical="center"/>
    </xf>
    <xf numFmtId="5" fontId="26" fillId="0" borderId="0" xfId="4" applyNumberFormat="1" applyFont="1" applyAlignment="1">
      <alignment vertical="center"/>
    </xf>
    <xf numFmtId="0" fontId="26" fillId="0" borderId="4" xfId="4" applyFont="1" applyBorder="1" applyAlignment="1">
      <alignment vertical="center"/>
    </xf>
    <xf numFmtId="0" fontId="31" fillId="0" borderId="5" xfId="4" applyFont="1" applyBorder="1" applyAlignment="1">
      <alignment horizontal="center" vertical="center" wrapText="1"/>
    </xf>
    <xf numFmtId="0" fontId="30" fillId="0" borderId="0" xfId="4" applyFont="1" applyAlignment="1">
      <alignment vertical="center" wrapText="1"/>
    </xf>
    <xf numFmtId="0" fontId="30" fillId="6" borderId="0" xfId="4" applyFont="1" applyFill="1" applyAlignment="1">
      <alignment horizontal="right" vertical="center" wrapText="1"/>
    </xf>
    <xf numFmtId="0" fontId="30" fillId="6" borderId="0" xfId="4" applyFont="1" applyFill="1" applyAlignment="1">
      <alignment horizontal="center" vertical="center" wrapText="1"/>
    </xf>
    <xf numFmtId="0" fontId="35" fillId="6" borderId="0" xfId="4" applyFont="1" applyFill="1" applyAlignment="1">
      <alignment vertical="center"/>
    </xf>
    <xf numFmtId="167" fontId="26" fillId="0" borderId="0" xfId="4" applyNumberFormat="1" applyFont="1" applyAlignment="1">
      <alignment horizontal="center" vertical="center" wrapText="1"/>
    </xf>
    <xf numFmtId="0" fontId="25" fillId="0" borderId="0" xfId="4" applyFont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31" fillId="0" borderId="3" xfId="4" applyFont="1" applyBorder="1" applyAlignment="1">
      <alignment horizontal="center" vertical="center" wrapText="1"/>
    </xf>
    <xf numFmtId="165" fontId="30" fillId="0" borderId="4" xfId="2" applyFont="1" applyFill="1" applyBorder="1" applyAlignment="1" applyProtection="1">
      <alignment vertical="center" wrapText="1"/>
    </xf>
    <xf numFmtId="0" fontId="35" fillId="6" borderId="4" xfId="4" applyFont="1" applyFill="1" applyBorder="1" applyAlignment="1">
      <alignment horizontal="left" vertical="center"/>
    </xf>
    <xf numFmtId="165" fontId="32" fillId="0" borderId="0" xfId="2" applyFont="1" applyFill="1" applyBorder="1" applyAlignment="1" applyProtection="1">
      <alignment vertical="top"/>
    </xf>
    <xf numFmtId="0" fontId="25" fillId="0" borderId="0" xfId="4" applyFont="1" applyAlignment="1">
      <alignment vertical="center"/>
    </xf>
    <xf numFmtId="0" fontId="30" fillId="0" borderId="0" xfId="4" applyFont="1" applyAlignment="1">
      <alignment horizontal="right" vertical="center" wrapText="1"/>
    </xf>
    <xf numFmtId="0" fontId="31" fillId="0" borderId="0" xfId="4" applyFont="1" applyAlignment="1">
      <alignment horizontal="right" vertical="center" wrapText="1"/>
    </xf>
    <xf numFmtId="0" fontId="30" fillId="0" borderId="0" xfId="4" applyFont="1" applyAlignment="1">
      <alignment horizontal="center" vertical="center"/>
    </xf>
    <xf numFmtId="0" fontId="31" fillId="0" borderId="9" xfId="4" applyFont="1" applyBorder="1" applyAlignment="1">
      <alignment horizontal="center" vertical="center" wrapText="1"/>
    </xf>
    <xf numFmtId="0" fontId="31" fillId="6" borderId="4" xfId="4" applyFont="1" applyFill="1" applyBorder="1"/>
    <xf numFmtId="0" fontId="31" fillId="6" borderId="4" xfId="4" applyFont="1" applyFill="1" applyBorder="1" applyAlignment="1">
      <alignment wrapText="1"/>
    </xf>
    <xf numFmtId="0" fontId="31" fillId="0" borderId="0" xfId="4" applyFont="1" applyAlignment="1">
      <alignment vertical="center" wrapText="1"/>
    </xf>
    <xf numFmtId="0" fontId="30" fillId="0" borderId="0" xfId="4" applyFont="1" applyAlignment="1">
      <alignment horizontal="right" vertical="center"/>
    </xf>
    <xf numFmtId="164" fontId="30" fillId="0" borderId="0" xfId="1" applyFont="1" applyFill="1" applyBorder="1" applyAlignment="1" applyProtection="1">
      <alignment vertical="center" wrapText="1"/>
    </xf>
    <xf numFmtId="0" fontId="30" fillId="0" borderId="0" xfId="4" applyFont="1" applyAlignment="1">
      <alignment horizontal="left" vertical="center"/>
    </xf>
    <xf numFmtId="0" fontId="31" fillId="0" borderId="0" xfId="4" applyFont="1" applyAlignment="1">
      <alignment vertical="center"/>
    </xf>
    <xf numFmtId="178" fontId="25" fillId="0" borderId="0" xfId="2" applyNumberFormat="1" applyFont="1" applyFill="1" applyBorder="1" applyAlignment="1" applyProtection="1">
      <alignment horizontal="right" vertical="center" wrapText="1"/>
    </xf>
    <xf numFmtId="178" fontId="25" fillId="0" borderId="25" xfId="2" applyNumberFormat="1" applyFont="1" applyFill="1" applyBorder="1" applyAlignment="1" applyProtection="1">
      <alignment horizontal="center" vertical="center" wrapText="1"/>
    </xf>
    <xf numFmtId="0" fontId="30" fillId="2" borderId="5" xfId="4" applyFont="1" applyFill="1" applyBorder="1" applyAlignment="1" applyProtection="1">
      <alignment horizontal="center" vertical="center" wrapText="1"/>
      <protection locked="0"/>
    </xf>
    <xf numFmtId="0" fontId="26" fillId="2" borderId="5" xfId="4" applyFont="1" applyFill="1" applyBorder="1" applyAlignment="1" applyProtection="1">
      <alignment horizontal="center" vertical="center" wrapText="1"/>
      <protection locked="0"/>
    </xf>
    <xf numFmtId="5" fontId="26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30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1" fillId="0" borderId="12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25" fillId="16" borderId="12" xfId="4" applyFont="1" applyFill="1" applyBorder="1" applyAlignment="1">
      <alignment horizontal="center" vertical="center" wrapText="1"/>
    </xf>
    <xf numFmtId="0" fontId="24" fillId="0" borderId="0" xfId="4" applyFont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30" fillId="0" borderId="0" xfId="4" applyFont="1" applyAlignment="1" applyProtection="1">
      <alignment vertical="center"/>
      <protection locked="0"/>
    </xf>
    <xf numFmtId="164" fontId="30" fillId="0" borderId="0" xfId="1" applyFont="1" applyFill="1" applyBorder="1" applyAlignment="1" applyProtection="1">
      <alignment vertical="center" wrapText="1"/>
      <protection locked="0"/>
    </xf>
    <xf numFmtId="0" fontId="26" fillId="0" borderId="0" xfId="4" applyFont="1" applyAlignment="1">
      <alignment horizontal="right" vertical="center" wrapText="1"/>
    </xf>
    <xf numFmtId="0" fontId="30" fillId="0" borderId="0" xfId="4" applyFont="1" applyAlignment="1">
      <alignment horizontal="center" vertical="center" wrapText="1"/>
    </xf>
    <xf numFmtId="179" fontId="26" fillId="3" borderId="5" xfId="5" applyNumberFormat="1" applyFont="1" applyFill="1" applyBorder="1" applyAlignment="1" applyProtection="1">
      <alignment horizontal="center" vertical="center"/>
    </xf>
    <xf numFmtId="0" fontId="25" fillId="0" borderId="0" xfId="4" applyFont="1" applyAlignment="1">
      <alignment horizontal="right" vertical="center"/>
    </xf>
    <xf numFmtId="174" fontId="25" fillId="0" borderId="0" xfId="2" applyNumberFormat="1" applyFont="1" applyFill="1" applyBorder="1" applyAlignment="1" applyProtection="1">
      <alignment horizontal="center" vertical="center" wrapText="1"/>
    </xf>
    <xf numFmtId="0" fontId="26" fillId="0" borderId="0" xfId="4" applyFont="1" applyProtection="1">
      <protection locked="0"/>
    </xf>
    <xf numFmtId="0" fontId="25" fillId="0" borderId="0" xfId="4" applyFont="1" applyAlignment="1">
      <alignment horizontal="right" vertical="center" wrapText="1"/>
    </xf>
    <xf numFmtId="0" fontId="26" fillId="0" borderId="0" xfId="4" applyFont="1" applyAlignment="1">
      <alignment horizontal="left" vertical="center"/>
    </xf>
    <xf numFmtId="0" fontId="26" fillId="0" borderId="0" xfId="4" applyFont="1" applyAlignment="1">
      <alignment vertical="center" wrapText="1"/>
    </xf>
    <xf numFmtId="0" fontId="31" fillId="0" borderId="0" xfId="4" applyFont="1" applyAlignment="1">
      <alignment horizontal="right" vertical="center"/>
    </xf>
    <xf numFmtId="0" fontId="38" fillId="0" borderId="0" xfId="4" applyFont="1" applyAlignment="1">
      <alignment vertical="center"/>
    </xf>
    <xf numFmtId="0" fontId="31" fillId="0" borderId="15" xfId="4" applyFont="1" applyBorder="1" applyAlignment="1">
      <alignment horizontal="right" vertical="center" wrapText="1"/>
    </xf>
    <xf numFmtId="0" fontId="31" fillId="0" borderId="16" xfId="4" applyFont="1" applyBorder="1" applyAlignment="1">
      <alignment horizontal="right" vertical="center" wrapText="1"/>
    </xf>
    <xf numFmtId="0" fontId="26" fillId="0" borderId="16" xfId="4" applyFont="1" applyBorder="1"/>
    <xf numFmtId="0" fontId="45" fillId="0" borderId="0" xfId="4" applyFont="1" applyAlignment="1">
      <alignment vertical="center"/>
    </xf>
    <xf numFmtId="168" fontId="45" fillId="0" borderId="0" xfId="3" applyNumberFormat="1" applyFont="1" applyFill="1" applyBorder="1" applyAlignment="1" applyProtection="1">
      <alignment horizontal="center" vertical="center" wrapText="1"/>
    </xf>
    <xf numFmtId="0" fontId="46" fillId="0" borderId="0" xfId="4" applyFont="1" applyAlignment="1">
      <alignment horizontal="center" vertical="center"/>
    </xf>
    <xf numFmtId="0" fontId="46" fillId="0" borderId="0" xfId="4" applyFont="1" applyAlignment="1">
      <alignment vertical="center"/>
    </xf>
    <xf numFmtId="0" fontId="25" fillId="0" borderId="0" xfId="0" applyFont="1" applyAlignment="1">
      <alignment horizontal="right" vertical="center" wrapText="1"/>
    </xf>
    <xf numFmtId="175" fontId="26" fillId="5" borderId="5" xfId="2" applyNumberFormat="1" applyFont="1" applyFill="1" applyBorder="1" applyAlignment="1" applyProtection="1">
      <alignment horizontal="right" vertical="center" shrinkToFit="1"/>
      <protection locked="0"/>
    </xf>
    <xf numFmtId="175" fontId="26" fillId="2" borderId="5" xfId="2" applyNumberFormat="1" applyFont="1" applyFill="1" applyBorder="1" applyAlignment="1" applyProtection="1">
      <alignment vertical="center" shrinkToFit="1"/>
      <protection locked="0"/>
    </xf>
    <xf numFmtId="175" fontId="26" fillId="2" borderId="12" xfId="2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/>
      <protection locked="0"/>
    </xf>
    <xf numFmtId="0" fontId="31" fillId="0" borderId="14" xfId="4" applyFont="1" applyBorder="1" applyAlignment="1">
      <alignment horizontal="center" vertical="center" shrinkToFit="1"/>
    </xf>
    <xf numFmtId="0" fontId="31" fillId="0" borderId="3" xfId="4" applyFont="1" applyBorder="1" applyAlignment="1">
      <alignment horizontal="center" vertical="center" shrinkToFit="1"/>
    </xf>
    <xf numFmtId="0" fontId="31" fillId="0" borderId="18" xfId="4" applyFont="1" applyBorder="1" applyAlignment="1">
      <alignment horizontal="center" vertical="center" shrinkToFit="1"/>
    </xf>
    <xf numFmtId="0" fontId="31" fillId="0" borderId="5" xfId="4" applyFont="1" applyBorder="1" applyAlignment="1">
      <alignment horizontal="center" vertical="center" shrinkToFit="1"/>
    </xf>
    <xf numFmtId="0" fontId="30" fillId="0" borderId="0" xfId="4" applyFont="1" applyAlignment="1">
      <alignment horizontal="center" vertical="center" shrinkToFit="1"/>
    </xf>
    <xf numFmtId="0" fontId="31" fillId="0" borderId="0" xfId="4" applyFont="1" applyAlignment="1">
      <alignment horizontal="right" vertical="center" shrinkToFit="1"/>
    </xf>
    <xf numFmtId="0" fontId="26" fillId="0" borderId="0" xfId="4" applyFont="1" applyAlignment="1">
      <alignment vertical="center" shrinkToFit="1"/>
    </xf>
    <xf numFmtId="0" fontId="25" fillId="10" borderId="10" xfId="4" applyFont="1" applyFill="1" applyBorder="1" applyAlignment="1">
      <alignment horizontal="center" vertical="center" wrapText="1"/>
    </xf>
    <xf numFmtId="165" fontId="6" fillId="0" borderId="0" xfId="2" applyFont="1" applyFill="1" applyBorder="1" applyAlignment="1" applyProtection="1">
      <alignment horizontal="right" vertical="center" wrapText="1"/>
    </xf>
    <xf numFmtId="164" fontId="6" fillId="0" borderId="0" xfId="1" applyFont="1" applyFill="1" applyBorder="1" applyAlignment="1" applyProtection="1">
      <alignment vertical="center" wrapText="1"/>
    </xf>
    <xf numFmtId="165" fontId="6" fillId="0" borderId="0" xfId="2" applyFont="1" applyFill="1" applyBorder="1" applyAlignment="1" applyProtection="1">
      <alignment vertical="center" wrapText="1"/>
    </xf>
    <xf numFmtId="167" fontId="6" fillId="0" borderId="0" xfId="2" applyNumberFormat="1" applyFont="1" applyFill="1" applyBorder="1" applyAlignment="1" applyProtection="1">
      <alignment horizontal="center" vertical="center" wrapText="1"/>
    </xf>
    <xf numFmtId="0" fontId="53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53" fillId="0" borderId="0" xfId="0" applyFont="1"/>
    <xf numFmtId="0" fontId="44" fillId="0" borderId="0" xfId="0" applyFont="1" applyAlignment="1">
      <alignment vertical="center"/>
    </xf>
    <xf numFmtId="0" fontId="25" fillId="0" borderId="5" xfId="4" applyFont="1" applyBorder="1" applyAlignment="1">
      <alignment horizontal="center" vertical="center" wrapText="1"/>
    </xf>
    <xf numFmtId="0" fontId="30" fillId="3" borderId="14" xfId="4" applyFont="1" applyFill="1" applyBorder="1" applyAlignment="1">
      <alignment horizontal="center" vertical="center" wrapText="1"/>
    </xf>
    <xf numFmtId="0" fontId="30" fillId="3" borderId="5" xfId="4" applyFont="1" applyFill="1" applyBorder="1" applyAlignment="1">
      <alignment horizontal="center" vertical="center"/>
    </xf>
    <xf numFmtId="0" fontId="30" fillId="0" borderId="22" xfId="4" applyFont="1" applyBorder="1" applyAlignment="1">
      <alignment horizontal="center" vertical="center" wrapText="1"/>
    </xf>
    <xf numFmtId="1" fontId="30" fillId="3" borderId="3" xfId="4" applyNumberFormat="1" applyFont="1" applyFill="1" applyBorder="1" applyAlignment="1">
      <alignment horizontal="center" vertical="center" wrapText="1"/>
    </xf>
    <xf numFmtId="176" fontId="26" fillId="3" borderId="6" xfId="4" applyNumberFormat="1" applyFont="1" applyFill="1" applyBorder="1" applyAlignment="1">
      <alignment horizontal="center" vertical="center"/>
    </xf>
    <xf numFmtId="7" fontId="26" fillId="0" borderId="0" xfId="4" applyNumberFormat="1" applyFont="1" applyAlignment="1">
      <alignment horizontal="right" vertical="center" wrapText="1"/>
    </xf>
    <xf numFmtId="0" fontId="57" fillId="0" borderId="0" xfId="0" applyFont="1" applyAlignment="1">
      <alignment horizontal="right" vertical="top"/>
    </xf>
    <xf numFmtId="181" fontId="26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4" fillId="17" borderId="0" xfId="0" applyFont="1" applyFill="1" applyAlignment="1" applyProtection="1">
      <alignment vertical="center"/>
      <protection hidden="1"/>
    </xf>
    <xf numFmtId="0" fontId="46" fillId="17" borderId="0" xfId="0" applyFont="1" applyFill="1" applyAlignment="1" applyProtection="1">
      <alignment vertical="center"/>
      <protection hidden="1"/>
    </xf>
    <xf numFmtId="0" fontId="46" fillId="17" borderId="0" xfId="0" applyFont="1" applyFill="1" applyAlignment="1" applyProtection="1">
      <alignment vertical="center" wrapText="1"/>
      <protection hidden="1"/>
    </xf>
    <xf numFmtId="0" fontId="24" fillId="17" borderId="0" xfId="4" applyFont="1" applyFill="1" applyAlignment="1" applyProtection="1">
      <alignment vertical="center"/>
      <protection hidden="1"/>
    </xf>
    <xf numFmtId="0" fontId="50" fillId="9" borderId="0" xfId="0" applyFont="1" applyFill="1" applyAlignment="1" applyProtection="1">
      <alignment horizontal="center" vertical="center" wrapText="1"/>
      <protection hidden="1"/>
    </xf>
    <xf numFmtId="0" fontId="26" fillId="9" borderId="0" xfId="4" applyFont="1" applyFill="1" applyAlignment="1" applyProtection="1">
      <alignment vertical="center"/>
      <protection hidden="1"/>
    </xf>
    <xf numFmtId="0" fontId="50" fillId="9" borderId="0" xfId="0" applyFont="1" applyFill="1" applyAlignment="1" applyProtection="1">
      <alignment horizontal="left" vertical="center" wrapText="1"/>
      <protection hidden="1"/>
    </xf>
    <xf numFmtId="0" fontId="46" fillId="9" borderId="0" xfId="0" applyFont="1" applyFill="1" applyAlignment="1" applyProtection="1">
      <alignment horizontal="left" vertical="center"/>
      <protection hidden="1"/>
    </xf>
    <xf numFmtId="0" fontId="46" fillId="9" borderId="0" xfId="0" applyFont="1" applyFill="1" applyAlignment="1" applyProtection="1">
      <alignment vertical="center"/>
      <protection hidden="1"/>
    </xf>
    <xf numFmtId="0" fontId="46" fillId="9" borderId="0" xfId="0" applyFont="1" applyFill="1" applyAlignment="1" applyProtection="1">
      <alignment vertical="center" wrapText="1"/>
      <protection hidden="1"/>
    </xf>
    <xf numFmtId="0" fontId="51" fillId="9" borderId="7" xfId="0" applyFont="1" applyFill="1" applyBorder="1" applyAlignment="1" applyProtection="1">
      <alignment horizontal="center" vertical="center"/>
      <protection hidden="1"/>
    </xf>
    <xf numFmtId="5" fontId="26" fillId="9" borderId="0" xfId="4" applyNumberFormat="1" applyFont="1" applyFill="1" applyAlignment="1" applyProtection="1">
      <alignment vertical="center"/>
      <protection hidden="1"/>
    </xf>
    <xf numFmtId="5" fontId="26" fillId="20" borderId="5" xfId="2" applyNumberFormat="1" applyFont="1" applyFill="1" applyBorder="1" applyAlignment="1" applyProtection="1">
      <alignment horizontal="center" vertical="center" shrinkToFit="1"/>
    </xf>
    <xf numFmtId="10" fontId="25" fillId="0" borderId="0" xfId="3" applyNumberFormat="1" applyFont="1" applyFill="1" applyBorder="1" applyAlignment="1">
      <alignment horizontal="left" vertical="center" shrinkToFit="1"/>
    </xf>
    <xf numFmtId="0" fontId="61" fillId="0" borderId="0" xfId="4" applyFont="1" applyAlignment="1">
      <alignment horizontal="center" vertical="center"/>
    </xf>
    <xf numFmtId="165" fontId="52" fillId="0" borderId="0" xfId="2" applyFont="1" applyFill="1" applyBorder="1" applyAlignment="1" applyProtection="1">
      <alignment vertical="top"/>
    </xf>
    <xf numFmtId="49" fontId="23" fillId="0" borderId="0" xfId="2" applyNumberFormat="1" applyFont="1" applyAlignment="1">
      <alignment horizontal="left" vertical="center"/>
    </xf>
    <xf numFmtId="176" fontId="30" fillId="2" borderId="5" xfId="4" applyNumberFormat="1" applyFont="1" applyFill="1" applyBorder="1" applyAlignment="1" applyProtection="1">
      <alignment horizontal="center" vertical="center" shrinkToFit="1"/>
      <protection locked="0"/>
    </xf>
    <xf numFmtId="5" fontId="26" fillId="2" borderId="5" xfId="2" applyNumberFormat="1" applyFont="1" applyFill="1" applyBorder="1" applyAlignment="1" applyProtection="1">
      <alignment horizontal="right" vertical="center" shrinkToFit="1"/>
      <protection locked="0"/>
    </xf>
    <xf numFmtId="5" fontId="26" fillId="2" borderId="5" xfId="2" applyNumberFormat="1" applyFont="1" applyFill="1" applyBorder="1" applyAlignment="1" applyProtection="1">
      <alignment vertical="center" shrinkToFit="1"/>
      <protection locked="0"/>
    </xf>
    <xf numFmtId="37" fontId="26" fillId="2" borderId="5" xfId="2" applyNumberFormat="1" applyFont="1" applyFill="1" applyBorder="1" applyAlignment="1" applyProtection="1">
      <alignment horizontal="center" vertical="center" shrinkToFit="1"/>
      <protection locked="0"/>
    </xf>
    <xf numFmtId="174" fontId="26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vertical="center"/>
      <protection hidden="1"/>
    </xf>
    <xf numFmtId="180" fontId="25" fillId="19" borderId="17" xfId="2" applyNumberFormat="1" applyFont="1" applyFill="1" applyBorder="1" applyAlignment="1" applyProtection="1">
      <alignment horizontal="right" vertical="center" shrinkToFit="1"/>
      <protection hidden="1"/>
    </xf>
    <xf numFmtId="5" fontId="25" fillId="3" borderId="5" xfId="2" applyNumberFormat="1" applyFont="1" applyFill="1" applyBorder="1" applyAlignment="1" applyProtection="1">
      <alignment horizontal="center" vertical="center" shrinkToFit="1"/>
      <protection hidden="1"/>
    </xf>
    <xf numFmtId="49" fontId="30" fillId="20" borderId="9" xfId="4" applyNumberFormat="1" applyFont="1" applyFill="1" applyBorder="1" applyAlignment="1" applyProtection="1">
      <alignment horizontal="center" vertical="center" shrinkToFit="1"/>
      <protection hidden="1"/>
    </xf>
    <xf numFmtId="177" fontId="30" fillId="20" borderId="5" xfId="2" applyNumberFormat="1" applyFont="1" applyFill="1" applyBorder="1" applyAlignment="1" applyProtection="1">
      <alignment horizontal="center" vertical="center" shrinkToFit="1"/>
      <protection hidden="1"/>
    </xf>
    <xf numFmtId="177" fontId="30" fillId="20" borderId="9" xfId="2" applyNumberFormat="1" applyFont="1" applyFill="1" applyBorder="1" applyAlignment="1" applyProtection="1">
      <alignment horizontal="center" vertical="center" shrinkToFit="1"/>
      <protection hidden="1"/>
    </xf>
    <xf numFmtId="177" fontId="26" fillId="20" borderId="5" xfId="2" applyNumberFormat="1" applyFont="1" applyFill="1" applyBorder="1" applyAlignment="1" applyProtection="1">
      <alignment horizontal="center" vertical="center" shrinkToFit="1"/>
      <protection hidden="1"/>
    </xf>
    <xf numFmtId="10" fontId="26" fillId="20" borderId="5" xfId="3" applyNumberFormat="1" applyFont="1" applyFill="1" applyBorder="1" applyAlignment="1" applyProtection="1">
      <alignment horizontal="center" vertical="center" shrinkToFit="1"/>
      <protection hidden="1"/>
    </xf>
    <xf numFmtId="177" fontId="30" fillId="20" borderId="12" xfId="2" applyNumberFormat="1" applyFont="1" applyFill="1" applyBorder="1" applyAlignment="1" applyProtection="1">
      <alignment horizontal="center" vertical="center" shrinkToFit="1"/>
      <protection hidden="1"/>
    </xf>
    <xf numFmtId="49" fontId="30" fillId="20" borderId="12" xfId="4" applyNumberFormat="1" applyFont="1" applyFill="1" applyBorder="1" applyAlignment="1" applyProtection="1">
      <alignment horizontal="center" vertical="center" shrinkToFit="1"/>
      <protection hidden="1"/>
    </xf>
    <xf numFmtId="177" fontId="30" fillId="20" borderId="10" xfId="2" applyNumberFormat="1" applyFont="1" applyFill="1" applyBorder="1" applyAlignment="1" applyProtection="1">
      <alignment horizontal="center" vertical="center" shrinkToFit="1"/>
      <protection hidden="1"/>
    </xf>
    <xf numFmtId="49" fontId="30" fillId="20" borderId="5" xfId="4" applyNumberFormat="1" applyFont="1" applyFill="1" applyBorder="1" applyAlignment="1" applyProtection="1">
      <alignment horizontal="center" vertical="center" shrinkToFit="1"/>
      <protection hidden="1"/>
    </xf>
    <xf numFmtId="49" fontId="26" fillId="20" borderId="5" xfId="4" applyNumberFormat="1" applyFont="1" applyFill="1" applyBorder="1" applyAlignment="1" applyProtection="1">
      <alignment horizontal="center" vertical="center" shrinkToFit="1"/>
      <protection hidden="1"/>
    </xf>
    <xf numFmtId="177" fontId="31" fillId="19" borderId="17" xfId="2" applyNumberFormat="1" applyFont="1" applyFill="1" applyBorder="1" applyAlignment="1" applyProtection="1">
      <alignment horizontal="center" vertical="center" shrinkToFit="1"/>
      <protection hidden="1"/>
    </xf>
    <xf numFmtId="5" fontId="31" fillId="19" borderId="17" xfId="2" applyNumberFormat="1" applyFont="1" applyFill="1" applyBorder="1" applyAlignment="1" applyProtection="1">
      <alignment horizontal="center" vertical="center" shrinkToFit="1"/>
      <protection hidden="1"/>
    </xf>
    <xf numFmtId="10" fontId="31" fillId="19" borderId="17" xfId="3" applyNumberFormat="1" applyFont="1" applyFill="1" applyBorder="1" applyAlignment="1" applyProtection="1">
      <alignment horizontal="center" vertical="center" shrinkToFit="1"/>
      <protection hidden="1"/>
    </xf>
    <xf numFmtId="5" fontId="31" fillId="19" borderId="17" xfId="3" applyNumberFormat="1" applyFont="1" applyFill="1" applyBorder="1" applyAlignment="1" applyProtection="1">
      <alignment horizontal="center" vertical="center" shrinkToFit="1"/>
      <protection hidden="1"/>
    </xf>
    <xf numFmtId="0" fontId="31" fillId="0" borderId="3" xfId="4" applyFont="1" applyBorder="1" applyAlignment="1" applyProtection="1">
      <alignment horizontal="center" vertical="center" shrinkToFit="1"/>
      <protection hidden="1"/>
    </xf>
    <xf numFmtId="177" fontId="26" fillId="3" borderId="1" xfId="4" applyNumberFormat="1" applyFont="1" applyFill="1" applyBorder="1" applyAlignment="1" applyProtection="1">
      <alignment horizontal="center" vertical="center" shrinkToFit="1"/>
      <protection hidden="1"/>
    </xf>
    <xf numFmtId="0" fontId="25" fillId="0" borderId="1" xfId="4" applyFont="1" applyBorder="1" applyAlignment="1" applyProtection="1">
      <alignment horizontal="center" vertical="center" shrinkToFit="1"/>
      <protection hidden="1"/>
    </xf>
    <xf numFmtId="0" fontId="26" fillId="3" borderId="1" xfId="4" applyFont="1" applyFill="1" applyBorder="1" applyAlignment="1" applyProtection="1">
      <alignment horizontal="center" vertical="center" shrinkToFit="1"/>
      <protection hidden="1"/>
    </xf>
    <xf numFmtId="176" fontId="25" fillId="4" borderId="5" xfId="4" applyNumberFormat="1" applyFont="1" applyFill="1" applyBorder="1" applyAlignment="1" applyProtection="1">
      <alignment horizontal="center" vertical="center" shrinkToFit="1"/>
      <protection hidden="1"/>
    </xf>
    <xf numFmtId="171" fontId="25" fillId="0" borderId="2" xfId="4" applyNumberFormat="1" applyFont="1" applyBorder="1" applyAlignment="1" applyProtection="1">
      <alignment horizontal="center" vertical="center" wrapText="1"/>
      <protection hidden="1"/>
    </xf>
    <xf numFmtId="167" fontId="26" fillId="0" borderId="0" xfId="4" applyNumberFormat="1" applyFont="1" applyAlignment="1" applyProtection="1">
      <alignment horizontal="center" vertical="center" wrapText="1"/>
      <protection hidden="1"/>
    </xf>
    <xf numFmtId="0" fontId="26" fillId="0" borderId="0" xfId="4" applyFont="1" applyAlignment="1" applyProtection="1">
      <alignment horizontal="center" vertical="center" wrapText="1"/>
      <protection hidden="1"/>
    </xf>
    <xf numFmtId="0" fontId="25" fillId="0" borderId="0" xfId="4" applyFont="1" applyAlignment="1" applyProtection="1">
      <alignment horizontal="center" vertical="center" wrapText="1"/>
      <protection hidden="1"/>
    </xf>
    <xf numFmtId="0" fontId="26" fillId="0" borderId="0" xfId="4" applyFont="1" applyAlignment="1" applyProtection="1">
      <alignment horizontal="center" vertical="center"/>
      <protection hidden="1"/>
    </xf>
    <xf numFmtId="0" fontId="26" fillId="0" borderId="7" xfId="4" applyFont="1" applyBorder="1" applyAlignment="1" applyProtection="1">
      <alignment horizontal="center" vertical="center"/>
      <protection hidden="1"/>
    </xf>
    <xf numFmtId="1" fontId="26" fillId="3" borderId="1" xfId="4" applyNumberFormat="1" applyFont="1" applyFill="1" applyBorder="1" applyAlignment="1" applyProtection="1">
      <alignment horizontal="center" vertical="center" shrinkToFit="1"/>
      <protection hidden="1"/>
    </xf>
    <xf numFmtId="0" fontId="26" fillId="0" borderId="1" xfId="4" applyFont="1" applyBorder="1" applyAlignment="1" applyProtection="1">
      <alignment horizontal="center" vertical="center" shrinkToFit="1"/>
      <protection hidden="1"/>
    </xf>
    <xf numFmtId="0" fontId="26" fillId="0" borderId="6" xfId="4" applyFont="1" applyBorder="1" applyAlignment="1" applyProtection="1">
      <alignment horizontal="center" vertical="center" shrinkToFit="1"/>
      <protection hidden="1"/>
    </xf>
    <xf numFmtId="0" fontId="25" fillId="0" borderId="2" xfId="4" applyFont="1" applyBorder="1" applyAlignment="1" applyProtection="1">
      <alignment horizontal="center" vertical="center"/>
      <protection hidden="1"/>
    </xf>
    <xf numFmtId="0" fontId="25" fillId="0" borderId="2" xfId="4" applyFont="1" applyBorder="1" applyAlignment="1" applyProtection="1">
      <alignment horizontal="center" vertical="center" wrapText="1"/>
      <protection hidden="1"/>
    </xf>
    <xf numFmtId="0" fontId="26" fillId="0" borderId="3" xfId="4" applyFont="1" applyBorder="1" applyAlignment="1" applyProtection="1">
      <alignment horizontal="center" vertical="center" wrapText="1"/>
      <protection hidden="1"/>
    </xf>
    <xf numFmtId="167" fontId="26" fillId="0" borderId="1" xfId="4" applyNumberFormat="1" applyFont="1" applyBorder="1" applyAlignment="1" applyProtection="1">
      <alignment horizontal="center" vertical="center" wrapText="1"/>
      <protection hidden="1"/>
    </xf>
    <xf numFmtId="0" fontId="26" fillId="0" borderId="1" xfId="4" applyFont="1" applyBorder="1" applyAlignment="1" applyProtection="1">
      <alignment horizontal="center" vertical="center" wrapText="1"/>
      <protection hidden="1"/>
    </xf>
    <xf numFmtId="0" fontId="25" fillId="0" borderId="1" xfId="4" applyFont="1" applyBorder="1" applyAlignment="1" applyProtection="1">
      <alignment horizontal="center" vertical="center" wrapText="1"/>
      <protection hidden="1"/>
    </xf>
    <xf numFmtId="0" fontId="26" fillId="0" borderId="1" xfId="4" applyFont="1" applyBorder="1" applyAlignment="1" applyProtection="1">
      <alignment horizontal="center" vertical="center"/>
      <protection hidden="1"/>
    </xf>
    <xf numFmtId="0" fontId="26" fillId="0" borderId="6" xfId="4" applyFont="1" applyBorder="1" applyAlignment="1" applyProtection="1">
      <alignment horizontal="center" vertical="center"/>
      <protection hidden="1"/>
    </xf>
    <xf numFmtId="0" fontId="30" fillId="0" borderId="5" xfId="4" applyFont="1" applyBorder="1" applyAlignment="1" applyProtection="1">
      <alignment horizontal="center" vertical="center" wrapText="1"/>
      <protection hidden="1"/>
    </xf>
    <xf numFmtId="9" fontId="26" fillId="0" borderId="3" xfId="3" applyFont="1" applyBorder="1" applyAlignment="1" applyProtection="1">
      <alignment horizontal="center" vertical="center" wrapText="1"/>
      <protection hidden="1"/>
    </xf>
    <xf numFmtId="180" fontId="26" fillId="3" borderId="5" xfId="2" applyNumberFormat="1" applyFont="1" applyFill="1" applyBorder="1" applyAlignment="1" applyProtection="1">
      <alignment horizontal="center" vertical="center" shrinkToFit="1"/>
      <protection hidden="1"/>
    </xf>
    <xf numFmtId="165" fontId="26" fillId="3" borderId="3" xfId="2" applyFont="1" applyFill="1" applyBorder="1" applyAlignment="1" applyProtection="1">
      <alignment horizontal="right" vertical="center" shrinkToFit="1"/>
      <protection hidden="1"/>
    </xf>
    <xf numFmtId="165" fontId="26" fillId="3" borderId="6" xfId="2" applyFont="1" applyFill="1" applyBorder="1" applyAlignment="1" applyProtection="1">
      <alignment horizontal="center" vertical="center" shrinkToFit="1"/>
      <protection hidden="1"/>
    </xf>
    <xf numFmtId="177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0" fontId="26" fillId="0" borderId="5" xfId="3" applyNumberFormat="1" applyFont="1" applyBorder="1" applyAlignment="1" applyProtection="1">
      <alignment horizontal="center" vertical="center" wrapText="1"/>
      <protection hidden="1"/>
    </xf>
    <xf numFmtId="0" fontId="42" fillId="0" borderId="5" xfId="4" applyFont="1" applyBorder="1" applyAlignment="1" applyProtection="1">
      <alignment horizontal="center" vertical="center" wrapText="1"/>
      <protection hidden="1"/>
    </xf>
    <xf numFmtId="9" fontId="26" fillId="0" borderId="5" xfId="3" applyFont="1" applyBorder="1" applyAlignment="1" applyProtection="1">
      <alignment horizontal="center" vertical="center" wrapText="1"/>
      <protection hidden="1"/>
    </xf>
    <xf numFmtId="0" fontId="31" fillId="0" borderId="14" xfId="0" applyFont="1" applyBorder="1" applyAlignment="1" applyProtection="1">
      <alignment vertical="center"/>
      <protection hidden="1"/>
    </xf>
    <xf numFmtId="0" fontId="51" fillId="17" borderId="4" xfId="0" applyFont="1" applyFill="1" applyBorder="1" applyAlignment="1" applyProtection="1">
      <alignment vertical="center"/>
      <protection hidden="1"/>
    </xf>
    <xf numFmtId="0" fontId="45" fillId="17" borderId="0" xfId="0" applyFont="1" applyFill="1" applyAlignment="1" applyProtection="1">
      <alignment horizontal="center" vertical="center" shrinkToFit="1"/>
      <protection hidden="1"/>
    </xf>
    <xf numFmtId="0" fontId="45" fillId="17" borderId="0" xfId="0" applyFont="1" applyFill="1" applyAlignment="1" applyProtection="1">
      <alignment vertical="center" shrinkToFit="1"/>
      <protection hidden="1"/>
    </xf>
    <xf numFmtId="0" fontId="51" fillId="17" borderId="0" xfId="0" applyFont="1" applyFill="1" applyAlignment="1" applyProtection="1">
      <alignment horizontal="center" vertical="center" shrinkToFit="1"/>
      <protection hidden="1"/>
    </xf>
    <xf numFmtId="9" fontId="30" fillId="0" borderId="5" xfId="3" applyFont="1" applyBorder="1" applyAlignment="1" applyProtection="1">
      <alignment horizontal="center" vertical="center" wrapText="1"/>
      <protection hidden="1"/>
    </xf>
    <xf numFmtId="180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77" fontId="26" fillId="3" borderId="5" xfId="2" applyNumberFormat="1" applyFont="1" applyFill="1" applyBorder="1" applyAlignment="1" applyProtection="1">
      <alignment horizontal="center" vertical="center" shrinkToFit="1"/>
      <protection hidden="1"/>
    </xf>
    <xf numFmtId="177" fontId="30" fillId="0" borderId="5" xfId="4" applyNumberFormat="1" applyFont="1" applyBorder="1" applyAlignment="1" applyProtection="1">
      <alignment horizontal="center" vertical="center" wrapText="1"/>
      <protection hidden="1"/>
    </xf>
    <xf numFmtId="0" fontId="31" fillId="0" borderId="14" xfId="0" applyFont="1" applyBorder="1" applyAlignment="1" applyProtection="1">
      <alignment horizontal="left" vertical="center"/>
      <protection hidden="1"/>
    </xf>
    <xf numFmtId="0" fontId="51" fillId="17" borderId="4" xfId="0" applyFont="1" applyFill="1" applyBorder="1" applyAlignment="1" applyProtection="1">
      <alignment vertical="center" shrinkToFit="1"/>
      <protection hidden="1"/>
    </xf>
    <xf numFmtId="9" fontId="30" fillId="0" borderId="9" xfId="3" applyFont="1" applyBorder="1" applyAlignment="1" applyProtection="1">
      <alignment horizontal="center" vertical="center" wrapText="1"/>
      <protection hidden="1"/>
    </xf>
    <xf numFmtId="180" fontId="30" fillId="3" borderId="9" xfId="2" applyNumberFormat="1" applyFont="1" applyFill="1" applyBorder="1" applyAlignment="1" applyProtection="1">
      <alignment horizontal="center" vertical="center" shrinkToFit="1"/>
      <protection hidden="1"/>
    </xf>
    <xf numFmtId="0" fontId="30" fillId="9" borderId="0" xfId="4" applyFont="1" applyFill="1" applyAlignment="1" applyProtection="1">
      <alignment vertical="center"/>
      <protection hidden="1"/>
    </xf>
    <xf numFmtId="0" fontId="31" fillId="17" borderId="3" xfId="0" applyFont="1" applyFill="1" applyBorder="1" applyAlignment="1" applyProtection="1">
      <alignment horizontal="left" vertical="center" wrapText="1"/>
      <protection hidden="1"/>
    </xf>
    <xf numFmtId="0" fontId="31" fillId="17" borderId="0" xfId="0" applyFont="1" applyFill="1" applyAlignment="1" applyProtection="1">
      <alignment vertical="center"/>
      <protection hidden="1"/>
    </xf>
    <xf numFmtId="0" fontId="51" fillId="17" borderId="1" xfId="0" applyFont="1" applyFill="1" applyBorder="1" applyAlignment="1" applyProtection="1">
      <alignment vertical="center" shrinkToFit="1"/>
      <protection hidden="1"/>
    </xf>
    <xf numFmtId="0" fontId="51" fillId="17" borderId="19" xfId="0" applyFont="1" applyFill="1" applyBorder="1" applyAlignment="1" applyProtection="1">
      <alignment horizontal="center" vertical="center" shrinkToFit="1"/>
      <protection hidden="1"/>
    </xf>
    <xf numFmtId="0" fontId="30" fillId="17" borderId="0" xfId="4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5" fillId="10" borderId="5" xfId="4" applyFont="1" applyFill="1" applyBorder="1" applyAlignment="1" applyProtection="1">
      <alignment horizontal="center" vertical="center" wrapText="1"/>
      <protection hidden="1"/>
    </xf>
    <xf numFmtId="0" fontId="31" fillId="12" borderId="5" xfId="0" applyFont="1" applyFill="1" applyBorder="1" applyAlignment="1" applyProtection="1">
      <alignment horizontal="center" vertical="center" wrapText="1"/>
      <protection hidden="1"/>
    </xf>
    <xf numFmtId="0" fontId="31" fillId="22" borderId="5" xfId="0" applyFont="1" applyFill="1" applyBorder="1" applyAlignment="1" applyProtection="1">
      <alignment horizontal="center" vertical="center" wrapText="1"/>
      <protection hidden="1"/>
    </xf>
    <xf numFmtId="0" fontId="31" fillId="10" borderId="5" xfId="4" applyFont="1" applyFill="1" applyBorder="1" applyAlignment="1" applyProtection="1">
      <alignment horizontal="center" vertical="center" wrapText="1"/>
      <protection hidden="1"/>
    </xf>
    <xf numFmtId="0" fontId="25" fillId="12" borderId="5" xfId="0" applyFont="1" applyFill="1" applyBorder="1" applyAlignment="1" applyProtection="1">
      <alignment horizontal="center" vertical="center" wrapText="1"/>
      <protection hidden="1"/>
    </xf>
    <xf numFmtId="0" fontId="25" fillId="22" borderId="5" xfId="0" applyFont="1" applyFill="1" applyBorder="1" applyAlignment="1" applyProtection="1">
      <alignment horizontal="center" vertical="center" wrapText="1"/>
      <protection hidden="1"/>
    </xf>
    <xf numFmtId="0" fontId="25" fillId="11" borderId="5" xfId="0" applyFont="1" applyFill="1" applyBorder="1" applyAlignment="1" applyProtection="1">
      <alignment horizontal="center" vertical="center" wrapText="1"/>
      <protection hidden="1"/>
    </xf>
    <xf numFmtId="181" fontId="30" fillId="3" borderId="9" xfId="2" applyNumberFormat="1" applyFont="1" applyFill="1" applyBorder="1" applyAlignment="1" applyProtection="1">
      <alignment horizontal="center" vertical="center" shrinkToFit="1"/>
      <protection hidden="1"/>
    </xf>
    <xf numFmtId="181" fontId="26" fillId="3" borderId="9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5" xfId="0" applyFont="1" applyBorder="1" applyAlignment="1" applyProtection="1">
      <alignment horizontal="center" vertical="center" wrapText="1"/>
      <protection hidden="1"/>
    </xf>
    <xf numFmtId="0" fontId="30" fillId="0" borderId="5" xfId="0" applyFont="1" applyBorder="1" applyAlignment="1" applyProtection="1">
      <alignment horizontal="center" vertical="center" wrapText="1"/>
      <protection hidden="1"/>
    </xf>
    <xf numFmtId="181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81" fontId="26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25" fillId="3" borderId="17" xfId="2" applyNumberFormat="1" applyFont="1" applyFill="1" applyBorder="1" applyAlignment="1" applyProtection="1">
      <alignment horizontal="right" vertical="center" shrinkToFit="1"/>
      <protection hidden="1"/>
    </xf>
    <xf numFmtId="175" fontId="25" fillId="4" borderId="17" xfId="2" applyNumberFormat="1" applyFont="1" applyFill="1" applyBorder="1" applyAlignment="1" applyProtection="1">
      <alignment vertical="center" shrinkToFit="1"/>
      <protection hidden="1"/>
    </xf>
    <xf numFmtId="175" fontId="26" fillId="3" borderId="5" xfId="2" applyNumberFormat="1" applyFont="1" applyFill="1" applyBorder="1" applyAlignment="1" applyProtection="1">
      <alignment horizontal="right" vertical="center" shrinkToFit="1"/>
      <protection hidden="1"/>
    </xf>
    <xf numFmtId="175" fontId="26" fillId="3" borderId="6" xfId="2" applyNumberFormat="1" applyFont="1" applyFill="1" applyBorder="1" applyAlignment="1" applyProtection="1">
      <alignment horizontal="right" vertical="center" shrinkToFit="1"/>
      <protection hidden="1"/>
    </xf>
    <xf numFmtId="9" fontId="26" fillId="3" borderId="3" xfId="3" applyFont="1" applyFill="1" applyBorder="1" applyAlignment="1" applyProtection="1">
      <alignment horizontal="center" vertical="center" shrinkToFit="1"/>
      <protection hidden="1"/>
    </xf>
    <xf numFmtId="175" fontId="26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26" fillId="3" borderId="23" xfId="2" applyNumberFormat="1" applyFont="1" applyFill="1" applyBorder="1" applyAlignment="1" applyProtection="1">
      <alignment horizontal="right" vertical="center" shrinkToFit="1"/>
      <protection hidden="1"/>
    </xf>
    <xf numFmtId="175" fontId="26" fillId="3" borderId="24" xfId="2" applyNumberFormat="1" applyFont="1" applyFill="1" applyBorder="1" applyAlignment="1" applyProtection="1">
      <alignment horizontal="right" vertical="center" shrinkToFit="1"/>
      <protection hidden="1"/>
    </xf>
    <xf numFmtId="175" fontId="25" fillId="0" borderId="0" xfId="2" applyNumberFormat="1" applyFont="1" applyFill="1" applyBorder="1" applyAlignment="1" applyProtection="1">
      <alignment horizontal="right" vertical="center" shrinkToFit="1"/>
      <protection hidden="1"/>
    </xf>
    <xf numFmtId="175" fontId="25" fillId="18" borderId="17" xfId="2" applyNumberFormat="1" applyFont="1" applyFill="1" applyBorder="1" applyAlignment="1" applyProtection="1">
      <alignment horizontal="right" vertical="center" shrinkToFit="1"/>
      <protection hidden="1"/>
    </xf>
    <xf numFmtId="9" fontId="25" fillId="18" borderId="17" xfId="3" applyFont="1" applyFill="1" applyBorder="1" applyAlignment="1" applyProtection="1">
      <alignment horizontal="center" vertical="center" shrinkToFit="1"/>
      <protection hidden="1"/>
    </xf>
    <xf numFmtId="10" fontId="25" fillId="18" borderId="17" xfId="3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vertical="center"/>
      <protection hidden="1"/>
    </xf>
    <xf numFmtId="9" fontId="31" fillId="18" borderId="17" xfId="3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/>
      <protection hidden="1"/>
    </xf>
    <xf numFmtId="49" fontId="55" fillId="0" borderId="0" xfId="2" applyNumberFormat="1" applyFont="1" applyAlignment="1" applyProtection="1">
      <alignment horizontal="left" vertical="center"/>
      <protection hidden="1"/>
    </xf>
    <xf numFmtId="175" fontId="26" fillId="3" borderId="1" xfId="0" applyNumberFormat="1" applyFont="1" applyFill="1" applyBorder="1" applyAlignment="1" applyProtection="1">
      <alignment horizontal="center" vertical="center" wrapText="1"/>
      <protection hidden="1"/>
    </xf>
    <xf numFmtId="167" fontId="26" fillId="0" borderId="0" xfId="0" applyNumberFormat="1" applyFont="1" applyAlignment="1" applyProtection="1">
      <alignment horizontal="center" vertical="center" wrapText="1"/>
      <protection hidden="1"/>
    </xf>
    <xf numFmtId="167" fontId="26" fillId="0" borderId="1" xfId="0" applyNumberFormat="1" applyFont="1" applyBorder="1" applyAlignment="1" applyProtection="1">
      <alignment horizontal="center" vertical="center" wrapText="1"/>
      <protection hidden="1"/>
    </xf>
    <xf numFmtId="0" fontId="31" fillId="0" borderId="5" xfId="0" applyFont="1" applyBorder="1" applyAlignment="1" applyProtection="1">
      <alignment horizontal="center" vertical="center" wrapText="1"/>
      <protection hidden="1"/>
    </xf>
    <xf numFmtId="175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3" fontId="26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30" fillId="21" borderId="5" xfId="2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5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76" fontId="26" fillId="3" borderId="5" xfId="4" applyNumberFormat="1" applyFont="1" applyFill="1" applyBorder="1" applyAlignment="1" applyProtection="1">
      <alignment horizontal="center" vertical="center" shrinkToFit="1"/>
      <protection hidden="1"/>
    </xf>
    <xf numFmtId="0" fontId="31" fillId="10" borderId="5" xfId="0" applyFont="1" applyFill="1" applyBorder="1" applyAlignment="1" applyProtection="1">
      <alignment horizontal="center" vertical="center" wrapText="1"/>
      <protection hidden="1"/>
    </xf>
    <xf numFmtId="0" fontId="25" fillId="10" borderId="5" xfId="0" applyFont="1" applyFill="1" applyBorder="1" applyAlignment="1" applyProtection="1">
      <alignment horizontal="center" vertical="center" wrapText="1"/>
      <protection hidden="1"/>
    </xf>
    <xf numFmtId="0" fontId="31" fillId="21" borderId="5" xfId="0" applyFont="1" applyFill="1" applyBorder="1" applyAlignment="1" applyProtection="1">
      <alignment horizontal="center" vertical="center" wrapText="1"/>
      <protection hidden="1"/>
    </xf>
    <xf numFmtId="0" fontId="31" fillId="0" borderId="3" xfId="0" applyFont="1" applyBorder="1" applyAlignment="1" applyProtection="1">
      <alignment vertical="center"/>
      <protection hidden="1"/>
    </xf>
    <xf numFmtId="0" fontId="51" fillId="0" borderId="1" xfId="0" applyFont="1" applyBorder="1" applyAlignment="1" applyProtection="1">
      <alignment vertical="center"/>
      <protection hidden="1"/>
    </xf>
    <xf numFmtId="0" fontId="45" fillId="17" borderId="0" xfId="0" applyFont="1" applyFill="1" applyAlignment="1" applyProtection="1">
      <alignment horizontal="center" vertical="center"/>
      <protection hidden="1"/>
    </xf>
    <xf numFmtId="0" fontId="51" fillId="17" borderId="0" xfId="0" applyFont="1" applyFill="1" applyAlignment="1" applyProtection="1">
      <alignment horizontal="center" vertical="center"/>
      <protection hidden="1"/>
    </xf>
    <xf numFmtId="0" fontId="45" fillId="17" borderId="0" xfId="0" applyFont="1" applyFill="1" applyAlignment="1" applyProtection="1">
      <alignment vertical="center"/>
      <protection hidden="1"/>
    </xf>
    <xf numFmtId="0" fontId="26" fillId="0" borderId="0" xfId="4" applyFont="1" applyAlignment="1" applyProtection="1">
      <alignment vertical="center"/>
      <protection hidden="1"/>
    </xf>
    <xf numFmtId="0" fontId="40" fillId="0" borderId="0" xfId="4" applyFont="1" applyAlignment="1" applyProtection="1">
      <alignment vertical="center"/>
      <protection hidden="1"/>
    </xf>
    <xf numFmtId="0" fontId="31" fillId="0" borderId="0" xfId="4" applyFont="1" applyAlignment="1" applyProtection="1">
      <alignment horizontal="center" vertical="center" wrapText="1"/>
      <protection hidden="1"/>
    </xf>
    <xf numFmtId="0" fontId="30" fillId="0" borderId="0" xfId="4" applyFont="1" applyAlignment="1" applyProtection="1">
      <alignment vertical="center"/>
      <protection hidden="1"/>
    </xf>
    <xf numFmtId="0" fontId="30" fillId="0" borderId="0" xfId="4" applyFont="1" applyProtection="1">
      <protection locked="0"/>
    </xf>
    <xf numFmtId="0" fontId="26" fillId="0" borderId="0" xfId="4" applyFont="1" applyAlignment="1" applyProtection="1">
      <alignment vertical="center"/>
      <protection locked="0"/>
    </xf>
    <xf numFmtId="0" fontId="30" fillId="0" borderId="0" xfId="4" applyFont="1" applyAlignment="1" applyProtection="1">
      <alignment vertical="center" wrapText="1"/>
      <protection locked="0"/>
    </xf>
    <xf numFmtId="0" fontId="25" fillId="0" borderId="0" xfId="4" applyFont="1" applyAlignment="1" applyProtection="1">
      <alignment vertical="center"/>
      <protection locked="0"/>
    </xf>
    <xf numFmtId="0" fontId="26" fillId="0" borderId="0" xfId="4" applyFont="1" applyAlignment="1" applyProtection="1">
      <alignment horizontal="center" vertical="center"/>
      <protection locked="0"/>
    </xf>
    <xf numFmtId="0" fontId="31" fillId="0" borderId="0" xfId="4" applyFont="1" applyAlignment="1" applyProtection="1">
      <alignment vertical="center"/>
      <protection locked="0"/>
    </xf>
    <xf numFmtId="0" fontId="30" fillId="0" borderId="0" xfId="4" applyFont="1" applyAlignment="1" applyProtection="1">
      <alignment wrapText="1"/>
      <protection locked="0"/>
    </xf>
    <xf numFmtId="0" fontId="46" fillId="0" borderId="0" xfId="4" applyFont="1" applyAlignment="1" applyProtection="1">
      <alignment vertical="center"/>
      <protection locked="0"/>
    </xf>
    <xf numFmtId="0" fontId="45" fillId="0" borderId="0" xfId="4" applyFont="1" applyAlignment="1" applyProtection="1">
      <alignment vertical="center"/>
      <protection locked="0"/>
    </xf>
    <xf numFmtId="0" fontId="26" fillId="0" borderId="0" xfId="4" applyFont="1" applyAlignment="1" applyProtection="1">
      <alignment vertical="center" shrinkToFit="1"/>
      <protection locked="0"/>
    </xf>
    <xf numFmtId="0" fontId="30" fillId="0" borderId="0" xfId="4" applyFont="1" applyAlignment="1" applyProtection="1">
      <alignment vertical="center" shrinkToFit="1"/>
      <protection locked="0"/>
    </xf>
    <xf numFmtId="0" fontId="26" fillId="0" borderId="0" xfId="4" applyFont="1" applyAlignment="1" applyProtection="1">
      <alignment horizontal="center"/>
      <protection locked="0"/>
    </xf>
    <xf numFmtId="0" fontId="46" fillId="9" borderId="0" xfId="0" applyFont="1" applyFill="1" applyAlignment="1" applyProtection="1">
      <alignment vertical="center"/>
      <protection locked="0" hidden="1"/>
    </xf>
    <xf numFmtId="0" fontId="44" fillId="9" borderId="0" xfId="0" applyFont="1" applyFill="1" applyAlignment="1" applyProtection="1">
      <alignment horizontal="right" vertical="center" wrapText="1"/>
      <protection locked="0" hidden="1"/>
    </xf>
    <xf numFmtId="0" fontId="25" fillId="16" borderId="5" xfId="0" applyFont="1" applyFill="1" applyBorder="1" applyAlignment="1" applyProtection="1">
      <alignment horizontal="center" vertical="center" wrapText="1"/>
      <protection hidden="1"/>
    </xf>
    <xf numFmtId="0" fontId="25" fillId="16" borderId="5" xfId="4" applyFont="1" applyFill="1" applyBorder="1" applyAlignment="1" applyProtection="1">
      <alignment horizontal="center" vertical="center" wrapText="1"/>
      <protection hidden="1"/>
    </xf>
    <xf numFmtId="175" fontId="25" fillId="18" borderId="17" xfId="2" applyNumberFormat="1" applyFont="1" applyFill="1" applyBorder="1" applyAlignment="1" applyProtection="1">
      <alignment horizontal="right" vertical="center" shrinkToFit="1"/>
    </xf>
    <xf numFmtId="0" fontId="23" fillId="0" borderId="0" xfId="0" applyFont="1" applyAlignment="1">
      <alignment horizontal="right" vertical="center"/>
    </xf>
    <xf numFmtId="10" fontId="32" fillId="0" borderId="0" xfId="3" applyNumberFormat="1" applyFont="1" applyFill="1" applyBorder="1" applyAlignment="1" applyProtection="1">
      <alignment horizontal="left" vertical="center" shrinkToFit="1"/>
    </xf>
    <xf numFmtId="0" fontId="23" fillId="21" borderId="5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64" fillId="17" borderId="0" xfId="0" applyFont="1" applyFill="1" applyAlignment="1" applyProtection="1">
      <alignment horizontal="center" vertical="center" wrapText="1"/>
      <protection hidden="1"/>
    </xf>
    <xf numFmtId="49" fontId="25" fillId="17" borderId="0" xfId="0" applyNumberFormat="1" applyFont="1" applyFill="1" applyAlignment="1" applyProtection="1">
      <alignment horizontal="right" vertical="center" wrapText="1"/>
      <protection hidden="1"/>
    </xf>
    <xf numFmtId="0" fontId="66" fillId="0" borderId="0" xfId="0" applyFont="1" applyAlignment="1" applyProtection="1">
      <alignment vertical="center"/>
      <protection hidden="1"/>
    </xf>
    <xf numFmtId="0" fontId="8" fillId="17" borderId="0" xfId="0" applyFont="1" applyFill="1" applyAlignment="1" applyProtection="1">
      <alignment vertical="center" wrapText="1"/>
      <protection hidden="1"/>
    </xf>
    <xf numFmtId="0" fontId="26" fillId="17" borderId="0" xfId="0" applyFont="1" applyFill="1" applyAlignment="1" applyProtection="1">
      <alignment horizontal="right" vertical="center"/>
      <protection hidden="1"/>
    </xf>
    <xf numFmtId="167" fontId="50" fillId="0" borderId="0" xfId="0" applyNumberFormat="1" applyFont="1" applyAlignment="1" applyProtection="1">
      <alignment horizontal="left" vertical="center" wrapText="1"/>
      <protection hidden="1"/>
    </xf>
    <xf numFmtId="167" fontId="26" fillId="6" borderId="0" xfId="0" applyNumberFormat="1" applyFont="1" applyFill="1" applyAlignment="1" applyProtection="1">
      <alignment horizontal="left" vertical="center"/>
      <protection hidden="1"/>
    </xf>
    <xf numFmtId="167" fontId="26" fillId="0" borderId="0" xfId="0" applyNumberFormat="1" applyFont="1" applyAlignment="1" applyProtection="1">
      <alignment horizontal="left" vertical="center"/>
      <protection hidden="1"/>
    </xf>
    <xf numFmtId="175" fontId="26" fillId="3" borderId="5" xfId="2" applyNumberFormat="1" applyFont="1" applyFill="1" applyBorder="1" applyAlignment="1" applyProtection="1">
      <alignment horizontal="right" vertical="center" wrapText="1"/>
      <protection hidden="1"/>
    </xf>
    <xf numFmtId="49" fontId="55" fillId="0" borderId="0" xfId="2" applyNumberFormat="1" applyFont="1" applyFill="1" applyBorder="1" applyAlignment="1" applyProtection="1">
      <alignment horizontal="left" vertical="center"/>
      <protection hidden="1"/>
    </xf>
    <xf numFmtId="182" fontId="26" fillId="17" borderId="0" xfId="0" applyNumberFormat="1" applyFont="1" applyFill="1" applyAlignment="1" applyProtection="1">
      <alignment horizontal="center" vertical="center"/>
      <protection hidden="1"/>
    </xf>
    <xf numFmtId="175" fontId="30" fillId="3" borderId="9" xfId="2" applyNumberFormat="1" applyFont="1" applyFill="1" applyBorder="1" applyAlignment="1" applyProtection="1">
      <alignment horizontal="right" vertical="center" shrinkToFit="1"/>
    </xf>
    <xf numFmtId="5" fontId="26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0" fillId="17" borderId="0" xfId="0" applyFill="1" applyProtection="1">
      <protection hidden="1"/>
    </xf>
    <xf numFmtId="0" fontId="0" fillId="17" borderId="4" xfId="0" applyFill="1" applyBorder="1" applyProtection="1">
      <protection hidden="1"/>
    </xf>
    <xf numFmtId="0" fontId="65" fillId="17" borderId="14" xfId="0" applyFont="1" applyFill="1" applyBorder="1" applyAlignment="1" applyProtection="1">
      <alignment vertical="center"/>
      <protection hidden="1"/>
    </xf>
    <xf numFmtId="0" fontId="45" fillId="17" borderId="4" xfId="0" applyFont="1" applyFill="1" applyBorder="1" applyAlignment="1" applyProtection="1">
      <alignment vertical="center"/>
      <protection hidden="1"/>
    </xf>
    <xf numFmtId="175" fontId="26" fillId="5" borderId="9" xfId="2" applyNumberFormat="1" applyFont="1" applyFill="1" applyBorder="1" applyAlignment="1" applyProtection="1">
      <alignment horizontal="right" vertical="center" wrapText="1"/>
      <protection locked="0"/>
    </xf>
    <xf numFmtId="175" fontId="26" fillId="5" borderId="5" xfId="2" applyNumberFormat="1" applyFont="1" applyFill="1" applyBorder="1" applyAlignment="1" applyProtection="1">
      <alignment horizontal="right" vertical="center" wrapText="1"/>
      <protection locked="0"/>
    </xf>
    <xf numFmtId="0" fontId="65" fillId="17" borderId="2" xfId="0" applyFont="1" applyFill="1" applyBorder="1" applyAlignment="1" applyProtection="1">
      <alignment vertical="center"/>
      <protection hidden="1"/>
    </xf>
    <xf numFmtId="0" fontId="51" fillId="0" borderId="0" xfId="4" applyFont="1" applyAlignment="1" applyProtection="1">
      <alignment vertical="center"/>
      <protection hidden="1"/>
    </xf>
    <xf numFmtId="0" fontId="25" fillId="0" borderId="5" xfId="4" applyFont="1" applyBorder="1" applyAlignment="1" applyProtection="1">
      <alignment horizontal="center" vertical="center" wrapText="1"/>
      <protection hidden="1"/>
    </xf>
    <xf numFmtId="0" fontId="53" fillId="0" borderId="0" xfId="4" applyFont="1" applyAlignment="1" applyProtection="1">
      <alignment horizontal="left" vertical="center"/>
      <protection hidden="1"/>
    </xf>
    <xf numFmtId="0" fontId="25" fillId="10" borderId="5" xfId="4" applyFont="1" applyFill="1" applyBorder="1" applyAlignment="1">
      <alignment horizontal="center" vertical="center" wrapText="1"/>
    </xf>
    <xf numFmtId="0" fontId="25" fillId="16" borderId="5" xfId="4" applyFont="1" applyFill="1" applyBorder="1" applyAlignment="1">
      <alignment horizontal="center" vertical="center" wrapText="1"/>
    </xf>
    <xf numFmtId="0" fontId="0" fillId="6" borderId="0" xfId="0" applyFill="1"/>
    <xf numFmtId="0" fontId="31" fillId="6" borderId="0" xfId="4" applyFont="1" applyFill="1"/>
    <xf numFmtId="177" fontId="26" fillId="5" borderId="9" xfId="2" applyNumberFormat="1" applyFont="1" applyFill="1" applyBorder="1" applyAlignment="1" applyProtection="1">
      <alignment horizontal="right" vertical="center" wrapText="1"/>
      <protection locked="0"/>
    </xf>
    <xf numFmtId="177" fontId="26" fillId="5" borderId="5" xfId="2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4" applyAlignment="1">
      <alignment vertical="center"/>
    </xf>
    <xf numFmtId="0" fontId="1" fillId="0" borderId="0" xfId="4" applyAlignment="1">
      <alignment horizontal="center" vertical="center"/>
    </xf>
    <xf numFmtId="0" fontId="1" fillId="0" borderId="0" xfId="4"/>
    <xf numFmtId="0" fontId="1" fillId="0" borderId="0" xfId="4" applyAlignment="1" applyProtection="1">
      <alignment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25" fillId="0" borderId="13" xfId="4" applyFont="1" applyBorder="1" applyAlignment="1">
      <alignment horizontal="right" vertical="center" wrapText="1"/>
    </xf>
    <xf numFmtId="172" fontId="27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" applyFont="1" applyAlignment="1" applyProtection="1">
      <alignment vertical="center" wrapText="1"/>
      <protection locked="0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6" fillId="0" borderId="0" xfId="4" applyFont="1" applyAlignment="1">
      <alignment vertical="center" wrapText="1"/>
    </xf>
    <xf numFmtId="0" fontId="8" fillId="0" borderId="0" xfId="4" applyFont="1" applyAlignment="1">
      <alignment vertical="center" wrapText="1"/>
    </xf>
    <xf numFmtId="0" fontId="9" fillId="0" borderId="0" xfId="4" applyFont="1" applyAlignment="1">
      <alignment horizontal="right" vertical="center"/>
    </xf>
    <xf numFmtId="0" fontId="9" fillId="0" borderId="0" xfId="4" applyFont="1" applyAlignment="1">
      <alignment horizontal="right" vertical="center" wrapText="1"/>
    </xf>
    <xf numFmtId="0" fontId="6" fillId="0" borderId="0" xfId="4" applyFont="1" applyAlignment="1" applyProtection="1">
      <alignment horizontal="left" vertical="center"/>
      <protection locked="0"/>
    </xf>
    <xf numFmtId="0" fontId="6" fillId="0" borderId="0" xfId="4" applyFont="1" applyAlignment="1">
      <alignment horizontal="left" vertical="center"/>
    </xf>
    <xf numFmtId="0" fontId="25" fillId="0" borderId="1" xfId="4" applyFont="1" applyBorder="1" applyAlignment="1">
      <alignment horizontal="right" vertical="center" wrapText="1"/>
    </xf>
    <xf numFmtId="0" fontId="6" fillId="0" borderId="0" xfId="4" applyFont="1" applyAlignment="1" applyProtection="1">
      <alignment vertical="center"/>
      <protection locked="0"/>
    </xf>
    <xf numFmtId="0" fontId="6" fillId="0" borderId="0" xfId="4" applyFont="1" applyAlignment="1">
      <alignment vertical="center"/>
    </xf>
    <xf numFmtId="175" fontId="6" fillId="0" borderId="0" xfId="4" applyNumberFormat="1" applyFont="1" applyAlignment="1">
      <alignment vertical="center"/>
    </xf>
    <xf numFmtId="0" fontId="12" fillId="0" borderId="0" xfId="4" applyFont="1" applyAlignment="1" applyProtection="1">
      <alignment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6" fillId="0" borderId="0" xfId="4" applyFont="1" applyAlignment="1">
      <alignment horizontal="right" vertical="center" wrapText="1"/>
    </xf>
    <xf numFmtId="0" fontId="17" fillId="0" borderId="0" xfId="4" applyFont="1" applyAlignment="1">
      <alignment vertical="center" wrapText="1"/>
    </xf>
    <xf numFmtId="175" fontId="6" fillId="0" borderId="0" xfId="4" applyNumberFormat="1" applyFont="1" applyAlignment="1">
      <alignment horizontal="right" vertical="center" wrapText="1"/>
    </xf>
    <xf numFmtId="0" fontId="25" fillId="0" borderId="5" xfId="4" applyFont="1" applyBorder="1" applyAlignment="1">
      <alignment horizontal="right" vertical="center" wrapText="1"/>
    </xf>
    <xf numFmtId="173" fontId="26" fillId="3" borderId="5" xfId="6" applyNumberFormat="1" applyFont="1" applyFill="1" applyBorder="1" applyAlignment="1" applyProtection="1">
      <alignment horizontal="center" vertical="center"/>
    </xf>
    <xf numFmtId="175" fontId="1" fillId="0" borderId="0" xfId="4" applyNumberFormat="1" applyAlignment="1">
      <alignment vertical="center"/>
    </xf>
    <xf numFmtId="170" fontId="6" fillId="0" borderId="0" xfId="4" applyNumberFormat="1" applyFont="1" applyAlignment="1">
      <alignment horizontal="right" vertical="center" wrapText="1"/>
    </xf>
    <xf numFmtId="0" fontId="3" fillId="0" borderId="0" xfId="4" applyFont="1" applyAlignment="1">
      <alignment vertical="center"/>
    </xf>
    <xf numFmtId="170" fontId="6" fillId="0" borderId="0" xfId="4" applyNumberFormat="1" applyFont="1" applyAlignment="1" applyProtection="1">
      <alignment horizontal="right" vertical="center" wrapText="1"/>
      <protection locked="0"/>
    </xf>
    <xf numFmtId="175" fontId="6" fillId="0" borderId="0" xfId="4" applyNumberFormat="1" applyFont="1" applyAlignment="1">
      <alignment horizontal="left" vertical="center" wrapText="1"/>
    </xf>
    <xf numFmtId="0" fontId="48" fillId="0" borderId="0" xfId="4" applyFont="1" applyAlignment="1" applyProtection="1">
      <alignment vertical="center"/>
      <protection hidden="1"/>
    </xf>
    <xf numFmtId="0" fontId="12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11" fillId="0" borderId="0" xfId="4" applyFont="1" applyAlignment="1">
      <alignment horizontal="center" vertical="center" wrapText="1"/>
    </xf>
    <xf numFmtId="0" fontId="6" fillId="0" borderId="0" xfId="4" applyFont="1" applyAlignment="1">
      <alignment horizontal="right" vertical="center"/>
    </xf>
    <xf numFmtId="49" fontId="62" fillId="0" borderId="0" xfId="4" applyNumberFormat="1" applyFont="1" applyAlignment="1" applyProtection="1">
      <alignment horizontal="left" vertical="center"/>
      <protection hidden="1"/>
    </xf>
    <xf numFmtId="0" fontId="25" fillId="15" borderId="5" xfId="4" applyFont="1" applyFill="1" applyBorder="1" applyAlignment="1">
      <alignment horizontal="center" vertical="center" wrapText="1"/>
    </xf>
    <xf numFmtId="0" fontId="25" fillId="0" borderId="12" xfId="4" applyFont="1" applyBorder="1" applyAlignment="1" applyProtection="1">
      <alignment horizontal="center" vertical="center" wrapText="1"/>
      <protection hidden="1"/>
    </xf>
    <xf numFmtId="0" fontId="25" fillId="0" borderId="9" xfId="4" applyFont="1" applyBorder="1" applyAlignment="1">
      <alignment horizontal="center" vertical="center" wrapText="1"/>
    </xf>
    <xf numFmtId="0" fontId="53" fillId="0" borderId="0" xfId="4" applyFont="1" applyAlignment="1">
      <alignment horizontal="left" vertical="center"/>
    </xf>
    <xf numFmtId="0" fontId="64" fillId="17" borderId="0" xfId="4" applyFont="1" applyFill="1" applyAlignment="1" applyProtection="1">
      <alignment horizontal="center" vertical="center" wrapText="1"/>
      <protection hidden="1"/>
    </xf>
    <xf numFmtId="49" fontId="25" fillId="17" borderId="0" xfId="4" applyNumberFormat="1" applyFont="1" applyFill="1" applyAlignment="1" applyProtection="1">
      <alignment horizontal="right" vertical="center" wrapText="1"/>
      <protection hidden="1"/>
    </xf>
    <xf numFmtId="182" fontId="26" fillId="17" borderId="0" xfId="4" applyNumberFormat="1" applyFont="1" applyFill="1" applyAlignment="1" applyProtection="1">
      <alignment horizontal="center" vertical="center"/>
      <protection hidden="1"/>
    </xf>
    <xf numFmtId="0" fontId="65" fillId="17" borderId="18" xfId="4" applyFont="1" applyFill="1" applyBorder="1" applyAlignment="1" applyProtection="1">
      <alignment vertical="center"/>
      <protection hidden="1"/>
    </xf>
    <xf numFmtId="0" fontId="1" fillId="17" borderId="19" xfId="4" applyFill="1" applyBorder="1" applyProtection="1">
      <protection hidden="1"/>
    </xf>
    <xf numFmtId="0" fontId="45" fillId="17" borderId="19" xfId="4" applyFont="1" applyFill="1" applyBorder="1" applyAlignment="1" applyProtection="1">
      <alignment vertical="center"/>
      <protection hidden="1"/>
    </xf>
    <xf numFmtId="0" fontId="46" fillId="17" borderId="11" xfId="4" applyFont="1" applyFill="1" applyBorder="1" applyAlignment="1" applyProtection="1">
      <alignment vertical="center"/>
      <protection hidden="1"/>
    </xf>
    <xf numFmtId="0" fontId="46" fillId="0" borderId="0" xfId="4" applyFont="1" applyAlignment="1" applyProtection="1">
      <alignment vertical="center"/>
      <protection hidden="1"/>
    </xf>
    <xf numFmtId="0" fontId="45" fillId="0" borderId="0" xfId="4" applyFont="1" applyAlignment="1" applyProtection="1">
      <alignment vertical="center"/>
      <protection hidden="1"/>
    </xf>
    <xf numFmtId="0" fontId="1" fillId="17" borderId="1" xfId="4" applyFill="1" applyBorder="1" applyProtection="1">
      <protection hidden="1"/>
    </xf>
    <xf numFmtId="0" fontId="65" fillId="17" borderId="14" xfId="4" applyFont="1" applyFill="1" applyBorder="1" applyAlignment="1" applyProtection="1">
      <alignment vertical="center"/>
      <protection hidden="1"/>
    </xf>
    <xf numFmtId="0" fontId="1" fillId="17" borderId="4" xfId="4" applyFill="1" applyBorder="1" applyProtection="1">
      <protection hidden="1"/>
    </xf>
    <xf numFmtId="0" fontId="45" fillId="17" borderId="4" xfId="4" applyFont="1" applyFill="1" applyBorder="1" applyAlignment="1" applyProtection="1">
      <alignment vertical="center"/>
      <protection hidden="1"/>
    </xf>
    <xf numFmtId="0" fontId="46" fillId="17" borderId="22" xfId="4" applyFont="1" applyFill="1" applyBorder="1" applyAlignment="1" applyProtection="1">
      <alignment vertical="center"/>
      <protection hidden="1"/>
    </xf>
    <xf numFmtId="176" fontId="30" fillId="2" borderId="9" xfId="4" applyNumberFormat="1" applyFont="1" applyFill="1" applyBorder="1" applyAlignment="1" applyProtection="1">
      <alignment horizontal="center" vertical="center" shrinkToFit="1"/>
      <protection locked="0"/>
    </xf>
    <xf numFmtId="169" fontId="26" fillId="3" borderId="9" xfId="4" applyNumberFormat="1" applyFont="1" applyFill="1" applyBorder="1" applyAlignment="1" applyProtection="1">
      <alignment horizontal="center" vertical="center"/>
      <protection hidden="1"/>
    </xf>
    <xf numFmtId="0" fontId="26" fillId="2" borderId="9" xfId="4" applyFont="1" applyFill="1" applyBorder="1" applyAlignment="1" applyProtection="1">
      <alignment horizontal="center" vertical="center" wrapText="1"/>
      <protection locked="0"/>
    </xf>
    <xf numFmtId="0" fontId="66" fillId="0" borderId="0" xfId="4" applyFont="1" applyAlignment="1" applyProtection="1">
      <alignment vertical="center"/>
      <protection hidden="1"/>
    </xf>
    <xf numFmtId="0" fontId="25" fillId="0" borderId="3" xfId="4" applyFont="1" applyBorder="1" applyAlignment="1">
      <alignment horizontal="center" vertical="center" wrapText="1"/>
    </xf>
    <xf numFmtId="169" fontId="26" fillId="3" borderId="5" xfId="4" applyNumberFormat="1" applyFont="1" applyFill="1" applyBorder="1" applyAlignment="1" applyProtection="1">
      <alignment horizontal="center" vertical="center"/>
      <protection hidden="1"/>
    </xf>
    <xf numFmtId="169" fontId="26" fillId="2" borderId="5" xfId="4" applyNumberFormat="1" applyFont="1" applyFill="1" applyBorder="1" applyAlignment="1" applyProtection="1">
      <alignment horizontal="center" vertical="center" shrinkToFit="1"/>
      <protection locked="0"/>
    </xf>
    <xf numFmtId="0" fontId="26" fillId="2" borderId="5" xfId="4" applyFont="1" applyFill="1" applyBorder="1" applyAlignment="1" applyProtection="1">
      <alignment horizontal="center" vertical="center"/>
      <protection locked="0"/>
    </xf>
    <xf numFmtId="0" fontId="32" fillId="0" borderId="0" xfId="4" applyFont="1" applyAlignment="1">
      <alignment vertical="center" wrapText="1"/>
    </xf>
    <xf numFmtId="0" fontId="7" fillId="0" borderId="0" xfId="4" applyFont="1" applyAlignment="1">
      <alignment vertical="center" wrapText="1"/>
    </xf>
    <xf numFmtId="0" fontId="2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0" fontId="1" fillId="0" borderId="0" xfId="4" applyProtection="1">
      <protection locked="0"/>
    </xf>
    <xf numFmtId="0" fontId="25" fillId="10" borderId="9" xfId="4" applyFont="1" applyFill="1" applyBorder="1" applyAlignment="1">
      <alignment horizontal="center" vertical="center" wrapText="1"/>
    </xf>
    <xf numFmtId="0" fontId="25" fillId="10" borderId="14" xfId="4" applyFont="1" applyFill="1" applyBorder="1" applyAlignment="1">
      <alignment horizontal="center" vertical="center" wrapText="1"/>
    </xf>
    <xf numFmtId="0" fontId="25" fillId="16" borderId="6" xfId="4" applyFont="1" applyFill="1" applyBorder="1" applyAlignment="1">
      <alignment horizontal="center" vertical="center" wrapText="1"/>
    </xf>
    <xf numFmtId="49" fontId="26" fillId="3" borderId="5" xfId="4" applyNumberFormat="1" applyFont="1" applyFill="1" applyBorder="1" applyAlignment="1" applyProtection="1">
      <alignment horizontal="center" vertical="center" shrinkToFit="1"/>
      <protection hidden="1"/>
    </xf>
    <xf numFmtId="0" fontId="26" fillId="3" borderId="3" xfId="4" applyFont="1" applyFill="1" applyBorder="1" applyAlignment="1">
      <alignment horizontal="center" vertical="center" wrapText="1"/>
    </xf>
    <xf numFmtId="0" fontId="26" fillId="3" borderId="5" xfId="4" applyFont="1" applyFill="1" applyBorder="1" applyAlignment="1">
      <alignment horizontal="center" vertical="center" wrapText="1"/>
    </xf>
    <xf numFmtId="0" fontId="26" fillId="3" borderId="6" xfId="4" applyFont="1" applyFill="1" applyBorder="1" applyAlignment="1">
      <alignment horizontal="center" vertical="center" wrapText="1"/>
    </xf>
    <xf numFmtId="169" fontId="26" fillId="3" borderId="6" xfId="4" applyNumberFormat="1" applyFont="1" applyFill="1" applyBorder="1" applyAlignment="1">
      <alignment horizontal="center" vertical="center"/>
    </xf>
    <xf numFmtId="49" fontId="26" fillId="3" borderId="23" xfId="4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4" applyFont="1" applyAlignment="1">
      <alignment horizontal="center" vertical="center"/>
    </xf>
    <xf numFmtId="0" fontId="3" fillId="0" borderId="0" xfId="4" applyFont="1" applyAlignment="1" applyProtection="1">
      <alignment vertical="center"/>
      <protection hidden="1"/>
    </xf>
    <xf numFmtId="0" fontId="30" fillId="0" borderId="0" xfId="4" applyFont="1" applyAlignment="1" applyProtection="1">
      <alignment vertical="center" wrapText="1"/>
      <protection hidden="1"/>
    </xf>
    <xf numFmtId="175" fontId="1" fillId="0" borderId="0" xfId="4" applyNumberFormat="1" applyAlignment="1" applyProtection="1">
      <alignment vertical="center"/>
      <protection locked="0"/>
    </xf>
    <xf numFmtId="0" fontId="23" fillId="0" borderId="0" xfId="4" applyFont="1" applyAlignment="1">
      <alignment horizontal="right" vertical="center"/>
    </xf>
    <xf numFmtId="49" fontId="3" fillId="0" borderId="0" xfId="4" applyNumberFormat="1" applyFont="1" applyAlignment="1" applyProtection="1">
      <alignment vertical="center"/>
      <protection locked="0"/>
    </xf>
    <xf numFmtId="0" fontId="1" fillId="0" borderId="0" xfId="4" applyProtection="1">
      <protection hidden="1"/>
    </xf>
    <xf numFmtId="49" fontId="1" fillId="0" borderId="0" xfId="4" applyNumberFormat="1" applyAlignment="1">
      <alignment vertical="center"/>
    </xf>
    <xf numFmtId="49" fontId="1" fillId="0" borderId="0" xfId="4" applyNumberFormat="1" applyAlignment="1" applyProtection="1">
      <alignment vertical="center"/>
      <protection locked="0"/>
    </xf>
    <xf numFmtId="0" fontId="68" fillId="6" borderId="0" xfId="4" applyFont="1" applyFill="1" applyAlignment="1" applyProtection="1">
      <alignment horizontal="left" vertical="center"/>
      <protection hidden="1"/>
    </xf>
    <xf numFmtId="0" fontId="45" fillId="6" borderId="0" xfId="4" applyFont="1" applyFill="1" applyAlignment="1" applyProtection="1">
      <alignment horizontal="right" vertical="center" wrapText="1"/>
      <protection hidden="1"/>
    </xf>
    <xf numFmtId="0" fontId="1" fillId="0" borderId="0" xfId="4" applyAlignment="1" applyProtection="1">
      <alignment vertical="center"/>
      <protection hidden="1"/>
    </xf>
    <xf numFmtId="0" fontId="8" fillId="17" borderId="0" xfId="4" applyFont="1" applyFill="1" applyAlignment="1" applyProtection="1">
      <alignment vertical="center" wrapText="1"/>
      <protection hidden="1"/>
    </xf>
    <xf numFmtId="0" fontId="26" fillId="17" borderId="0" xfId="4" applyFont="1" applyFill="1" applyAlignment="1" applyProtection="1">
      <alignment horizontal="right" vertical="center"/>
      <protection hidden="1"/>
    </xf>
    <xf numFmtId="0" fontId="67" fillId="0" borderId="5" xfId="4" applyFont="1" applyBorder="1" applyAlignment="1" applyProtection="1">
      <alignment horizontal="center" vertical="center" wrapText="1"/>
      <protection hidden="1"/>
    </xf>
    <xf numFmtId="0" fontId="26" fillId="0" borderId="5" xfId="4" applyFont="1" applyBorder="1" applyAlignment="1" applyProtection="1">
      <alignment horizontal="center" vertical="center" wrapText="1"/>
      <protection hidden="1"/>
    </xf>
    <xf numFmtId="49" fontId="60" fillId="0" borderId="0" xfId="4" applyNumberFormat="1" applyFont="1" applyAlignment="1">
      <alignment horizontal="left" vertical="center"/>
    </xf>
    <xf numFmtId="49" fontId="17" fillId="0" borderId="0" xfId="4" applyNumberFormat="1" applyFont="1" applyAlignment="1">
      <alignment vertical="center"/>
    </xf>
    <xf numFmtId="0" fontId="20" fillId="0" borderId="4" xfId="4" applyFont="1" applyBorder="1" applyAlignment="1">
      <alignment vertical="center"/>
    </xf>
    <xf numFmtId="0" fontId="20" fillId="0" borderId="0" xfId="4" applyFont="1" applyAlignment="1">
      <alignment vertical="center"/>
    </xf>
    <xf numFmtId="0" fontId="20" fillId="0" borderId="0" xfId="4" applyFont="1" applyAlignment="1" applyProtection="1">
      <alignment vertical="center"/>
      <protection locked="0"/>
    </xf>
    <xf numFmtId="167" fontId="50" fillId="0" borderId="0" xfId="4" applyNumberFormat="1" applyFont="1" applyAlignment="1" applyProtection="1">
      <alignment horizontal="left" vertical="center" wrapText="1"/>
      <protection hidden="1"/>
    </xf>
    <xf numFmtId="0" fontId="19" fillId="0" borderId="0" xfId="4" applyFont="1" applyAlignment="1" applyProtection="1">
      <alignment vertical="center"/>
      <protection locked="0"/>
    </xf>
    <xf numFmtId="0" fontId="31" fillId="0" borderId="3" xfId="4" applyFont="1" applyBorder="1" applyAlignment="1" applyProtection="1">
      <alignment horizontal="center" vertical="center" wrapText="1"/>
      <protection hidden="1"/>
    </xf>
    <xf numFmtId="175" fontId="26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26" fillId="3" borderId="1" xfId="4" applyFont="1" applyFill="1" applyBorder="1" applyAlignment="1" applyProtection="1">
      <alignment horizontal="center" vertical="center" wrapText="1"/>
      <protection hidden="1"/>
    </xf>
    <xf numFmtId="169" fontId="25" fillId="4" borderId="6" xfId="4" applyNumberFormat="1" applyFont="1" applyFill="1" applyBorder="1" applyAlignment="1" applyProtection="1">
      <alignment horizontal="center" vertical="center" shrinkToFit="1"/>
      <protection hidden="1"/>
    </xf>
    <xf numFmtId="167" fontId="26" fillId="6" borderId="0" xfId="4" applyNumberFormat="1" applyFont="1" applyFill="1" applyAlignment="1" applyProtection="1">
      <alignment horizontal="left" vertical="center"/>
      <protection hidden="1"/>
    </xf>
    <xf numFmtId="44" fontId="0" fillId="0" borderId="0" xfId="6" applyFont="1" applyAlignment="1" applyProtection="1">
      <alignment vertical="center"/>
    </xf>
    <xf numFmtId="167" fontId="26" fillId="0" borderId="0" xfId="4" applyNumberFormat="1" applyFont="1" applyAlignment="1" applyProtection="1">
      <alignment horizontal="left" vertical="center"/>
      <protection hidden="1"/>
    </xf>
    <xf numFmtId="1" fontId="26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4" applyFont="1" applyAlignment="1" applyProtection="1">
      <alignment horizontal="center" vertical="center"/>
      <protection hidden="1"/>
    </xf>
    <xf numFmtId="0" fontId="39" fillId="6" borderId="0" xfId="4" applyFont="1" applyFill="1" applyAlignment="1">
      <alignment vertical="center"/>
    </xf>
    <xf numFmtId="0" fontId="1" fillId="6" borderId="0" xfId="4" applyFill="1" applyAlignment="1">
      <alignment vertical="center"/>
    </xf>
    <xf numFmtId="0" fontId="23" fillId="21" borderId="5" xfId="4" applyFont="1" applyFill="1" applyBorder="1" applyAlignment="1" applyProtection="1">
      <alignment horizontal="center" vertical="center" wrapText="1"/>
      <protection hidden="1"/>
    </xf>
    <xf numFmtId="49" fontId="1" fillId="0" borderId="0" xfId="4" applyNumberFormat="1" applyAlignment="1">
      <alignment horizontal="left" vertical="center" wrapText="1"/>
    </xf>
    <xf numFmtId="0" fontId="58" fillId="9" borderId="0" xfId="4" applyFont="1" applyFill="1" applyAlignment="1" applyProtection="1">
      <alignment vertical="center"/>
      <protection locked="0"/>
    </xf>
    <xf numFmtId="0" fontId="31" fillId="0" borderId="5" xfId="4" applyFont="1" applyBorder="1" applyAlignment="1" applyProtection="1">
      <alignment horizontal="center" vertical="center" wrapText="1"/>
      <protection hidden="1"/>
    </xf>
    <xf numFmtId="0" fontId="25" fillId="12" borderId="5" xfId="4" applyFont="1" applyFill="1" applyBorder="1" applyAlignment="1" applyProtection="1">
      <alignment horizontal="center" vertical="center" wrapText="1"/>
      <protection hidden="1"/>
    </xf>
    <xf numFmtId="0" fontId="25" fillId="21" borderId="5" xfId="4" applyFont="1" applyFill="1" applyBorder="1" applyAlignment="1" applyProtection="1">
      <alignment horizontal="center" vertical="center" wrapText="1"/>
      <protection hidden="1"/>
    </xf>
    <xf numFmtId="0" fontId="9" fillId="9" borderId="0" xfId="4" applyFont="1" applyFill="1" applyAlignment="1" applyProtection="1">
      <alignment vertical="center"/>
      <protection locked="0"/>
    </xf>
    <xf numFmtId="0" fontId="12" fillId="9" borderId="0" xfId="4" applyFont="1" applyFill="1" applyAlignment="1" applyProtection="1">
      <alignment vertical="center"/>
      <protection locked="0"/>
    </xf>
    <xf numFmtId="0" fontId="12" fillId="9" borderId="0" xfId="4" applyFont="1" applyFill="1" applyAlignment="1" applyProtection="1">
      <alignment vertical="center"/>
      <protection locked="0" hidden="1"/>
    </xf>
    <xf numFmtId="0" fontId="2" fillId="0" borderId="0" xfId="4" applyFont="1" applyAlignment="1" applyProtection="1">
      <alignment vertical="center"/>
      <protection locked="0"/>
    </xf>
    <xf numFmtId="3" fontId="8" fillId="9" borderId="0" xfId="4" applyNumberFormat="1" applyFont="1" applyFill="1" applyAlignment="1" applyProtection="1">
      <alignment vertical="center"/>
      <protection hidden="1"/>
    </xf>
    <xf numFmtId="0" fontId="26" fillId="17" borderId="0" xfId="4" applyFont="1" applyFill="1" applyAlignment="1" applyProtection="1">
      <alignment horizontal="center" vertical="center"/>
      <protection hidden="1"/>
    </xf>
    <xf numFmtId="0" fontId="6" fillId="0" borderId="0" xfId="4" applyFont="1" applyAlignment="1" applyProtection="1">
      <alignment vertical="center"/>
      <protection hidden="1"/>
    </xf>
    <xf numFmtId="0" fontId="6" fillId="9" borderId="0" xfId="4" applyFont="1" applyFill="1" applyAlignment="1" applyProtection="1">
      <alignment vertical="center"/>
      <protection locked="0"/>
    </xf>
    <xf numFmtId="0" fontId="1" fillId="9" borderId="0" xfId="4" applyFill="1" applyAlignment="1" applyProtection="1">
      <alignment vertical="center"/>
      <protection hidden="1"/>
    </xf>
    <xf numFmtId="0" fontId="8" fillId="9" borderId="0" xfId="4" applyFont="1" applyFill="1" applyAlignment="1" applyProtection="1">
      <alignment vertical="center"/>
      <protection hidden="1"/>
    </xf>
    <xf numFmtId="0" fontId="59" fillId="9" borderId="0" xfId="4" applyFont="1" applyFill="1" applyAlignment="1" applyProtection="1">
      <alignment vertical="center"/>
      <protection hidden="1"/>
    </xf>
    <xf numFmtId="0" fontId="20" fillId="9" borderId="0" xfId="4" applyFont="1" applyFill="1" applyAlignment="1" applyProtection="1">
      <alignment vertical="center"/>
      <protection hidden="1"/>
    </xf>
    <xf numFmtId="9" fontId="8" fillId="9" borderId="0" xfId="4" applyNumberFormat="1" applyFont="1" applyFill="1" applyAlignment="1" applyProtection="1">
      <alignment vertical="center"/>
      <protection hidden="1"/>
    </xf>
    <xf numFmtId="175" fontId="59" fillId="9" borderId="0" xfId="4" applyNumberFormat="1" applyFont="1" applyFill="1" applyAlignment="1" applyProtection="1">
      <alignment vertical="center"/>
      <protection hidden="1"/>
    </xf>
    <xf numFmtId="9" fontId="26" fillId="0" borderId="5" xfId="4" applyNumberFormat="1" applyFont="1" applyBorder="1" applyAlignment="1" applyProtection="1">
      <alignment horizontal="center" vertical="center" wrapText="1"/>
      <protection hidden="1"/>
    </xf>
    <xf numFmtId="0" fontId="25" fillId="0" borderId="3" xfId="4" applyFont="1" applyBorder="1" applyAlignment="1" applyProtection="1">
      <alignment horizontal="left" vertical="center"/>
      <protection hidden="1"/>
    </xf>
    <xf numFmtId="0" fontId="25" fillId="17" borderId="1" xfId="4" applyFont="1" applyFill="1" applyBorder="1" applyAlignment="1" applyProtection="1">
      <alignment horizontal="center" vertical="center" wrapText="1"/>
      <protection hidden="1"/>
    </xf>
    <xf numFmtId="167" fontId="24" fillId="17" borderId="1" xfId="4" applyNumberFormat="1" applyFont="1" applyFill="1" applyBorder="1" applyAlignment="1" applyProtection="1">
      <alignment horizontal="center" vertical="center" shrinkToFit="1"/>
      <protection hidden="1"/>
    </xf>
    <xf numFmtId="0" fontId="24" fillId="17" borderId="1" xfId="4" applyFont="1" applyFill="1" applyBorder="1" applyAlignment="1" applyProtection="1">
      <alignment horizontal="center" vertical="center" shrinkToFit="1"/>
      <protection hidden="1"/>
    </xf>
    <xf numFmtId="0" fontId="1" fillId="17" borderId="0" xfId="4" applyFill="1" applyAlignment="1" applyProtection="1">
      <alignment vertical="center" shrinkToFit="1"/>
      <protection hidden="1"/>
    </xf>
    <xf numFmtId="0" fontId="1" fillId="9" borderId="0" xfId="4" applyFill="1" applyAlignment="1" applyProtection="1">
      <alignment vertical="center" shrinkToFit="1"/>
      <protection hidden="1"/>
    </xf>
    <xf numFmtId="0" fontId="6" fillId="9" borderId="0" xfId="4" applyFont="1" applyFill="1" applyAlignment="1" applyProtection="1">
      <alignment vertical="center" shrinkToFit="1"/>
      <protection hidden="1"/>
    </xf>
    <xf numFmtId="0" fontId="25" fillId="0" borderId="3" xfId="4" applyFont="1" applyBorder="1" applyAlignment="1" applyProtection="1">
      <alignment horizontal="left" vertical="center" wrapText="1"/>
      <protection hidden="1"/>
    </xf>
    <xf numFmtId="0" fontId="26" fillId="17" borderId="1" xfId="4" applyFont="1" applyFill="1" applyBorder="1" applyAlignment="1" applyProtection="1">
      <alignment horizontal="center" vertical="center"/>
      <protection hidden="1"/>
    </xf>
    <xf numFmtId="0" fontId="6" fillId="17" borderId="0" xfId="4" applyFont="1" applyFill="1" applyAlignment="1" applyProtection="1">
      <alignment vertical="center" shrinkToFit="1"/>
      <protection hidden="1"/>
    </xf>
    <xf numFmtId="10" fontId="8" fillId="9" borderId="0" xfId="4" applyNumberFormat="1" applyFont="1" applyFill="1" applyAlignment="1" applyProtection="1">
      <alignment vertical="center"/>
      <protection hidden="1"/>
    </xf>
    <xf numFmtId="0" fontId="49" fillId="9" borderId="4" xfId="4" applyFont="1" applyFill="1" applyBorder="1" applyAlignment="1" applyProtection="1">
      <alignment vertical="center" wrapText="1"/>
      <protection hidden="1"/>
    </xf>
    <xf numFmtId="0" fontId="25" fillId="17" borderId="1" xfId="4" applyFont="1" applyFill="1" applyBorder="1" applyAlignment="1" applyProtection="1">
      <alignment vertical="center" wrapText="1"/>
      <protection hidden="1"/>
    </xf>
    <xf numFmtId="0" fontId="24" fillId="17" borderId="1" xfId="4" applyFont="1" applyFill="1" applyBorder="1" applyAlignment="1" applyProtection="1">
      <alignment vertical="center" shrinkToFit="1"/>
      <protection hidden="1"/>
    </xf>
    <xf numFmtId="0" fontId="49" fillId="9" borderId="0" xfId="4" applyFont="1" applyFill="1" applyAlignment="1" applyProtection="1">
      <alignment vertical="center" wrapText="1"/>
      <protection hidden="1"/>
    </xf>
    <xf numFmtId="0" fontId="6" fillId="0" borderId="0" xfId="4" applyFont="1" applyAlignment="1" applyProtection="1">
      <alignment vertical="center" wrapText="1"/>
      <protection hidden="1"/>
    </xf>
    <xf numFmtId="0" fontId="6" fillId="17" borderId="4" xfId="4" applyFont="1" applyFill="1" applyBorder="1" applyAlignment="1" applyProtection="1">
      <alignment vertical="center" shrinkToFit="1"/>
      <protection hidden="1"/>
    </xf>
    <xf numFmtId="0" fontId="6" fillId="0" borderId="0" xfId="4" applyFont="1" applyAlignment="1">
      <alignment horizontal="center" vertical="center" wrapText="1"/>
    </xf>
    <xf numFmtId="0" fontId="35" fillId="6" borderId="0" xfId="4" applyFont="1" applyFill="1" applyAlignment="1">
      <alignment horizontal="left" vertical="center"/>
    </xf>
    <xf numFmtId="0" fontId="19" fillId="6" borderId="0" xfId="4" applyFont="1" applyFill="1" applyAlignment="1">
      <alignment horizontal="right" vertical="center" wrapText="1"/>
    </xf>
    <xf numFmtId="0" fontId="20" fillId="0" borderId="0" xfId="4" applyFont="1" applyAlignment="1">
      <alignment horizontal="center" vertical="center" wrapText="1"/>
    </xf>
    <xf numFmtId="0" fontId="8" fillId="0" borderId="0" xfId="4" applyFont="1" applyAlignment="1">
      <alignment vertical="center"/>
    </xf>
    <xf numFmtId="0" fontId="8" fillId="0" borderId="0" xfId="4" applyFont="1" applyAlignment="1" applyProtection="1">
      <alignment vertical="center"/>
      <protection locked="0"/>
    </xf>
    <xf numFmtId="0" fontId="18" fillId="0" borderId="0" xfId="4" applyFont="1" applyAlignment="1" applyProtection="1">
      <alignment vertical="center"/>
      <protection locked="0"/>
    </xf>
    <xf numFmtId="0" fontId="25" fillId="15" borderId="6" xfId="4" applyFont="1" applyFill="1" applyBorder="1" applyAlignment="1" applyProtection="1">
      <alignment horizontal="center" vertical="center" wrapText="1"/>
      <protection hidden="1"/>
    </xf>
    <xf numFmtId="0" fontId="25" fillId="15" borderId="5" xfId="4" applyFont="1" applyFill="1" applyBorder="1" applyAlignment="1" applyProtection="1">
      <alignment horizontal="center" vertical="center" wrapText="1"/>
      <protection hidden="1"/>
    </xf>
    <xf numFmtId="0" fontId="31" fillId="15" borderId="5" xfId="4" applyFont="1" applyFill="1" applyBorder="1" applyAlignment="1" applyProtection="1">
      <alignment horizontal="center" vertical="center" wrapText="1"/>
      <protection hidden="1"/>
    </xf>
    <xf numFmtId="0" fontId="31" fillId="14" borderId="5" xfId="4" applyFont="1" applyFill="1" applyBorder="1" applyAlignment="1" applyProtection="1">
      <alignment horizontal="center" vertical="center" wrapText="1"/>
      <protection hidden="1"/>
    </xf>
    <xf numFmtId="0" fontId="25" fillId="14" borderId="5" xfId="4" applyFont="1" applyFill="1" applyBorder="1" applyAlignment="1" applyProtection="1">
      <alignment horizontal="center" vertical="center" wrapText="1"/>
      <protection hidden="1"/>
    </xf>
    <xf numFmtId="0" fontId="31" fillId="13" borderId="5" xfId="4" applyFont="1" applyFill="1" applyBorder="1" applyAlignment="1" applyProtection="1">
      <alignment horizontal="center" vertical="center" wrapText="1"/>
      <protection hidden="1"/>
    </xf>
    <xf numFmtId="0" fontId="25" fillId="13" borderId="5" xfId="4" applyFont="1" applyFill="1" applyBorder="1" applyAlignment="1" applyProtection="1">
      <alignment horizontal="center" vertical="center" wrapText="1"/>
      <protection hidden="1"/>
    </xf>
    <xf numFmtId="0" fontId="12" fillId="0" borderId="0" xfId="4" applyFont="1" applyAlignment="1">
      <alignment horizontal="center" vertical="center"/>
    </xf>
    <xf numFmtId="0" fontId="33" fillId="11" borderId="5" xfId="4" applyFont="1" applyFill="1" applyBorder="1" applyAlignment="1" applyProtection="1">
      <alignment horizontal="center" vertical="center" wrapText="1"/>
      <protection hidden="1"/>
    </xf>
    <xf numFmtId="0" fontId="26" fillId="0" borderId="9" xfId="4" applyFont="1" applyBorder="1" applyAlignment="1" applyProtection="1">
      <alignment horizontal="center" vertical="center" wrapText="1"/>
      <protection hidden="1"/>
    </xf>
    <xf numFmtId="0" fontId="30" fillId="17" borderId="1" xfId="4" applyFont="1" applyFill="1" applyBorder="1" applyAlignment="1" applyProtection="1">
      <alignment horizontal="center" vertical="center"/>
      <protection hidden="1"/>
    </xf>
    <xf numFmtId="0" fontId="30" fillId="17" borderId="6" xfId="4" applyFont="1" applyFill="1" applyBorder="1" applyAlignment="1" applyProtection="1">
      <alignment vertical="center" shrinkToFit="1"/>
      <protection hidden="1"/>
    </xf>
    <xf numFmtId="0" fontId="1" fillId="0" borderId="0" xfId="4" applyAlignment="1" applyProtection="1">
      <alignment horizontal="center" vertical="center"/>
      <protection hidden="1"/>
    </xf>
    <xf numFmtId="0" fontId="1" fillId="0" borderId="0" xfId="4" applyAlignment="1" applyProtection="1">
      <alignment vertical="center" wrapText="1"/>
      <protection hidden="1"/>
    </xf>
    <xf numFmtId="0" fontId="1" fillId="0" borderId="0" xfId="4" applyAlignment="1" applyProtection="1">
      <alignment horizontal="center" vertical="center" wrapText="1"/>
      <protection hidden="1"/>
    </xf>
    <xf numFmtId="0" fontId="49" fillId="0" borderId="0" xfId="4" applyFont="1" applyAlignment="1" applyProtection="1">
      <alignment vertical="center" wrapText="1"/>
      <protection hidden="1"/>
    </xf>
    <xf numFmtId="0" fontId="49" fillId="0" borderId="0" xfId="4" quotePrefix="1" applyFont="1" applyAlignment="1" applyProtection="1">
      <alignment vertical="center" wrapText="1"/>
      <protection hidden="1"/>
    </xf>
    <xf numFmtId="175" fontId="49" fillId="0" borderId="0" xfId="4" applyNumberFormat="1" applyFont="1" applyAlignment="1" applyProtection="1">
      <alignment vertical="center" wrapText="1"/>
      <protection hidden="1"/>
    </xf>
    <xf numFmtId="0" fontId="1" fillId="0" borderId="0" xfId="4" applyAlignment="1">
      <alignment vertical="center" wrapText="1"/>
    </xf>
    <xf numFmtId="0" fontId="1" fillId="0" borderId="0" xfId="4" applyAlignment="1" applyProtection="1">
      <alignment vertical="center" wrapText="1"/>
      <protection locked="0"/>
    </xf>
    <xf numFmtId="0" fontId="49" fillId="0" borderId="0" xfId="4" quotePrefix="1" applyFont="1" applyAlignment="1">
      <alignment vertical="center" wrapText="1"/>
    </xf>
    <xf numFmtId="44" fontId="0" fillId="0" borderId="0" xfId="6" applyFont="1" applyAlignment="1">
      <alignment horizontal="center" vertical="center"/>
    </xf>
    <xf numFmtId="44" fontId="1" fillId="0" borderId="0" xfId="4" applyNumberFormat="1" applyAlignment="1">
      <alignment vertical="center"/>
    </xf>
    <xf numFmtId="44" fontId="1" fillId="0" borderId="0" xfId="4" applyNumberFormat="1" applyAlignment="1">
      <alignment horizontal="center" vertical="center"/>
    </xf>
    <xf numFmtId="0" fontId="73" fillId="0" borderId="0" xfId="2" applyNumberFormat="1" applyFont="1" applyFill="1" applyBorder="1" applyAlignment="1" applyProtection="1">
      <alignment horizontal="left" vertical="center"/>
    </xf>
    <xf numFmtId="0" fontId="0" fillId="9" borderId="0" xfId="0" applyFill="1"/>
    <xf numFmtId="10" fontId="26" fillId="20" borderId="9" xfId="3" applyNumberFormat="1" applyFont="1" applyFill="1" applyBorder="1" applyAlignment="1" applyProtection="1">
      <alignment horizontal="center" vertical="center" shrinkToFit="1"/>
      <protection hidden="1"/>
    </xf>
    <xf numFmtId="177" fontId="26" fillId="3" borderId="1" xfId="4" applyNumberFormat="1" applyFont="1" applyFill="1" applyBorder="1" applyAlignment="1" applyProtection="1">
      <alignment horizontal="center" vertical="center" wrapText="1" shrinkToFit="1"/>
      <protection hidden="1"/>
    </xf>
    <xf numFmtId="165" fontId="20" fillId="6" borderId="4" xfId="2" applyFont="1" applyFill="1" applyBorder="1" applyAlignment="1" applyProtection="1">
      <alignment vertical="center" wrapText="1"/>
    </xf>
    <xf numFmtId="0" fontId="35" fillId="6" borderId="4" xfId="4" applyFont="1" applyFill="1" applyBorder="1" applyAlignment="1" applyProtection="1">
      <alignment horizontal="left" vertical="center"/>
      <protection hidden="1"/>
    </xf>
    <xf numFmtId="0" fontId="8" fillId="6" borderId="0" xfId="4" applyFont="1" applyFill="1" applyAlignment="1" applyProtection="1">
      <alignment vertical="center" wrapText="1"/>
      <protection hidden="1"/>
    </xf>
    <xf numFmtId="165" fontId="30" fillId="6" borderId="4" xfId="2" applyFont="1" applyFill="1" applyBorder="1" applyAlignment="1" applyProtection="1">
      <alignment vertical="center" wrapText="1"/>
    </xf>
    <xf numFmtId="0" fontId="23" fillId="0" borderId="0" xfId="0" applyFont="1" applyAlignment="1" applyProtection="1">
      <alignment horizontal="right" vertical="center"/>
      <protection hidden="1"/>
    </xf>
    <xf numFmtId="10" fontId="32" fillId="0" borderId="0" xfId="3" applyNumberFormat="1" applyFont="1" applyFill="1" applyBorder="1" applyAlignment="1" applyProtection="1">
      <alignment horizontal="left" vertical="center" shrinkToFit="1"/>
      <protection hidden="1"/>
    </xf>
    <xf numFmtId="0" fontId="23" fillId="0" borderId="0" xfId="4" applyFont="1" applyAlignment="1" applyProtection="1">
      <alignment horizontal="right" vertical="center"/>
      <protection hidden="1"/>
    </xf>
    <xf numFmtId="0" fontId="39" fillId="6" borderId="0" xfId="4" applyFont="1" applyFill="1" applyAlignment="1" applyProtection="1">
      <alignment horizontal="left" vertical="center"/>
      <protection hidden="1"/>
    </xf>
    <xf numFmtId="0" fontId="25" fillId="16" borderId="5" xfId="7" applyFont="1" applyFill="1" applyBorder="1" applyAlignment="1">
      <alignment horizontal="center" vertical="center" wrapText="1"/>
    </xf>
    <xf numFmtId="0" fontId="46" fillId="9" borderId="10" xfId="0" applyFont="1" applyFill="1" applyBorder="1" applyAlignment="1" applyProtection="1">
      <alignment horizontal="center" vertical="center"/>
      <protection locked="0" hidden="1"/>
    </xf>
    <xf numFmtId="0" fontId="46" fillId="17" borderId="12" xfId="0" applyFont="1" applyFill="1" applyBorder="1" applyAlignment="1" applyProtection="1">
      <alignment vertical="center"/>
      <protection hidden="1"/>
    </xf>
    <xf numFmtId="0" fontId="46" fillId="17" borderId="9" xfId="0" applyFont="1" applyFill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locked="0"/>
    </xf>
    <xf numFmtId="182" fontId="26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2" applyNumberFormat="1" applyFont="1" applyFill="1" applyBorder="1" applyAlignment="1" applyProtection="1">
      <alignment horizontal="left"/>
    </xf>
    <xf numFmtId="0" fontId="30" fillId="0" borderId="0" xfId="4" applyFont="1"/>
    <xf numFmtId="0" fontId="30" fillId="0" borderId="0" xfId="4" applyFont="1" applyAlignment="1">
      <alignment horizontal="center" wrapText="1"/>
    </xf>
    <xf numFmtId="0" fontId="26" fillId="0" borderId="0" xfId="4" applyFont="1" applyAlignment="1">
      <alignment horizontal="right" wrapText="1"/>
    </xf>
    <xf numFmtId="182" fontId="26" fillId="3" borderId="5" xfId="2" applyNumberFormat="1" applyFont="1" applyFill="1" applyBorder="1" applyAlignment="1" applyProtection="1">
      <alignment horizontal="center" vertical="center"/>
      <protection hidden="1"/>
    </xf>
    <xf numFmtId="183" fontId="26" fillId="3" borderId="5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9" xfId="4" applyFont="1" applyBorder="1" applyAlignment="1" applyProtection="1">
      <alignment horizontal="center" vertical="center" wrapText="1"/>
      <protection hidden="1"/>
    </xf>
    <xf numFmtId="0" fontId="46" fillId="0" borderId="0" xfId="0" applyFont="1" applyAlignment="1" applyProtection="1">
      <alignment vertical="center"/>
      <protection locked="0" hidden="1"/>
    </xf>
    <xf numFmtId="0" fontId="44" fillId="0" borderId="0" xfId="0" applyFont="1" applyAlignment="1" applyProtection="1">
      <alignment horizontal="right" vertical="center" wrapText="1"/>
      <protection locked="0" hidden="1"/>
    </xf>
    <xf numFmtId="0" fontId="31" fillId="0" borderId="14" xfId="4" applyFont="1" applyBorder="1" applyAlignment="1" applyProtection="1">
      <alignment horizontal="center" vertical="center" wrapText="1"/>
      <protection hidden="1"/>
    </xf>
    <xf numFmtId="0" fontId="31" fillId="0" borderId="22" xfId="4" applyFont="1" applyBorder="1" applyAlignment="1" applyProtection="1">
      <alignment horizontal="center" vertical="center" wrapText="1"/>
      <protection hidden="1"/>
    </xf>
    <xf numFmtId="0" fontId="25" fillId="21" borderId="0" xfId="4" applyFont="1" applyFill="1" applyAlignment="1" applyProtection="1">
      <alignment horizontal="left" vertical="center" wrapText="1"/>
      <protection hidden="1"/>
    </xf>
    <xf numFmtId="0" fontId="8" fillId="0" borderId="0" xfId="4" applyFont="1" applyAlignment="1" applyProtection="1">
      <alignment vertical="center" wrapText="1"/>
      <protection hidden="1"/>
    </xf>
    <xf numFmtId="0" fontId="44" fillId="0" borderId="3" xfId="4" applyFont="1" applyBorder="1" applyAlignment="1" applyProtection="1">
      <alignment horizontal="right" vertical="center"/>
      <protection hidden="1"/>
    </xf>
    <xf numFmtId="0" fontId="44" fillId="0" borderId="6" xfId="4" applyFont="1" applyBorder="1" applyAlignment="1" applyProtection="1">
      <alignment horizontal="right" vertical="center"/>
      <protection hidden="1"/>
    </xf>
    <xf numFmtId="0" fontId="25" fillId="0" borderId="5" xfId="4" applyFont="1" applyBorder="1" applyAlignment="1" applyProtection="1">
      <alignment horizontal="right" vertical="center"/>
      <protection hidden="1"/>
    </xf>
    <xf numFmtId="0" fontId="36" fillId="0" borderId="5" xfId="4" applyFont="1" applyBorder="1" applyAlignment="1" applyProtection="1">
      <alignment horizontal="right" vertical="center"/>
      <protection hidden="1"/>
    </xf>
    <xf numFmtId="0" fontId="25" fillId="0" borderId="1" xfId="4" applyFont="1" applyBorder="1" applyAlignment="1" applyProtection="1">
      <alignment horizontal="right" vertical="center" wrapText="1"/>
      <protection hidden="1"/>
    </xf>
    <xf numFmtId="0" fontId="25" fillId="17" borderId="0" xfId="4" applyFont="1" applyFill="1" applyAlignment="1" applyProtection="1">
      <alignment horizontal="left" vertical="center" wrapText="1"/>
      <protection hidden="1"/>
    </xf>
    <xf numFmtId="0" fontId="31" fillId="0" borderId="4" xfId="4" applyFont="1" applyBorder="1" applyAlignment="1" applyProtection="1">
      <alignment horizontal="center" vertical="center" wrapText="1"/>
      <protection hidden="1"/>
    </xf>
    <xf numFmtId="0" fontId="31" fillId="15" borderId="1" xfId="4" applyFont="1" applyFill="1" applyBorder="1" applyAlignment="1" applyProtection="1">
      <alignment horizontal="center" vertical="center" wrapText="1"/>
      <protection hidden="1"/>
    </xf>
    <xf numFmtId="0" fontId="31" fillId="15" borderId="6" xfId="4" applyFont="1" applyFill="1" applyBorder="1" applyAlignment="1" applyProtection="1">
      <alignment horizontal="center" vertical="center" wrapText="1"/>
      <protection hidden="1"/>
    </xf>
    <xf numFmtId="0" fontId="31" fillId="14" borderId="3" xfId="4" applyFont="1" applyFill="1" applyBorder="1" applyAlignment="1" applyProtection="1">
      <alignment horizontal="center" vertical="center" wrapText="1"/>
      <protection hidden="1"/>
    </xf>
    <xf numFmtId="0" fontId="31" fillId="13" borderId="3" xfId="4" applyFont="1" applyFill="1" applyBorder="1" applyAlignment="1" applyProtection="1">
      <alignment horizontal="center" vertical="center" wrapText="1"/>
      <protection hidden="1"/>
    </xf>
    <xf numFmtId="0" fontId="31" fillId="13" borderId="1" xfId="4" applyFont="1" applyFill="1" applyBorder="1" applyAlignment="1" applyProtection="1">
      <alignment horizontal="center" vertical="center" wrapText="1"/>
      <protection hidden="1"/>
    </xf>
    <xf numFmtId="0" fontId="31" fillId="13" borderId="6" xfId="4" applyFont="1" applyFill="1" applyBorder="1" applyAlignment="1" applyProtection="1">
      <alignment horizontal="center" vertical="center" wrapText="1"/>
      <protection hidden="1"/>
    </xf>
    <xf numFmtId="0" fontId="25" fillId="18" borderId="20" xfId="4" applyFont="1" applyFill="1" applyBorder="1" applyAlignment="1" applyProtection="1">
      <alignment horizontal="left" vertical="center" wrapText="1"/>
      <protection hidden="1"/>
    </xf>
    <xf numFmtId="0" fontId="25" fillId="18" borderId="21" xfId="4" applyFont="1" applyFill="1" applyBorder="1" applyAlignment="1" applyProtection="1">
      <alignment horizontal="left" vertical="center" wrapText="1"/>
      <protection hidden="1"/>
    </xf>
    <xf numFmtId="0" fontId="25" fillId="0" borderId="5" xfId="4" applyFont="1" applyBorder="1" applyAlignment="1">
      <alignment horizontal="left" vertical="center" wrapText="1"/>
    </xf>
    <xf numFmtId="0" fontId="26" fillId="0" borderId="5" xfId="4" applyFont="1" applyBorder="1" applyAlignment="1">
      <alignment horizontal="left" vertical="center" wrapText="1"/>
    </xf>
    <xf numFmtId="0" fontId="25" fillId="7" borderId="3" xfId="4" applyFont="1" applyFill="1" applyBorder="1" applyAlignment="1">
      <alignment horizontal="center" vertical="center" wrapText="1"/>
    </xf>
    <xf numFmtId="0" fontId="25" fillId="7" borderId="6" xfId="4" applyFont="1" applyFill="1" applyBorder="1" applyAlignment="1">
      <alignment horizontal="center" vertical="center" wrapText="1"/>
    </xf>
    <xf numFmtId="0" fontId="69" fillId="0" borderId="3" xfId="0" applyFont="1" applyBorder="1" applyAlignment="1">
      <alignment horizontal="right" vertical="center" wrapText="1"/>
    </xf>
    <xf numFmtId="0" fontId="69" fillId="0" borderId="1" xfId="0" applyFont="1" applyBorder="1" applyAlignment="1">
      <alignment horizontal="right" vertical="center" wrapText="1"/>
    </xf>
    <xf numFmtId="0" fontId="69" fillId="0" borderId="6" xfId="0" applyFont="1" applyBorder="1" applyAlignment="1">
      <alignment horizontal="right" vertical="center" wrapText="1"/>
    </xf>
    <xf numFmtId="0" fontId="52" fillId="0" borderId="5" xfId="4" applyFont="1" applyBorder="1" applyAlignment="1">
      <alignment horizontal="center" vertical="center" wrapText="1"/>
    </xf>
    <xf numFmtId="0" fontId="1" fillId="0" borderId="5" xfId="4" applyBorder="1" applyAlignment="1">
      <alignment horizontal="center" vertical="center" wrapText="1"/>
    </xf>
    <xf numFmtId="0" fontId="65" fillId="17" borderId="18" xfId="4" applyFont="1" applyFill="1" applyBorder="1" applyAlignment="1" applyProtection="1">
      <alignment horizontal="center" vertical="center" wrapText="1"/>
      <protection hidden="1"/>
    </xf>
    <xf numFmtId="0" fontId="65" fillId="0" borderId="11" xfId="4" applyFont="1" applyBorder="1" applyAlignment="1">
      <alignment horizontal="center" vertical="center" wrapText="1"/>
    </xf>
    <xf numFmtId="0" fontId="65" fillId="0" borderId="14" xfId="4" applyFont="1" applyBorder="1" applyAlignment="1">
      <alignment horizontal="center" vertical="center" wrapText="1"/>
    </xf>
    <xf numFmtId="0" fontId="65" fillId="0" borderId="22" xfId="4" applyFont="1" applyBorder="1" applyAlignment="1">
      <alignment horizontal="center" vertical="center" wrapText="1"/>
    </xf>
    <xf numFmtId="0" fontId="25" fillId="3" borderId="20" xfId="4" applyFont="1" applyFill="1" applyBorder="1" applyAlignment="1" applyProtection="1">
      <alignment horizontal="right" vertical="center" wrapText="1"/>
      <protection hidden="1"/>
    </xf>
    <xf numFmtId="0" fontId="25" fillId="3" borderId="21" xfId="4" applyFont="1" applyFill="1" applyBorder="1" applyAlignment="1" applyProtection="1">
      <alignment horizontal="right" vertical="center" wrapText="1"/>
      <protection hidden="1"/>
    </xf>
    <xf numFmtId="0" fontId="31" fillId="0" borderId="12" xfId="4" applyFont="1" applyBorder="1" applyAlignment="1">
      <alignment vertical="center" wrapText="1"/>
    </xf>
    <xf numFmtId="0" fontId="26" fillId="0" borderId="9" xfId="4" applyFont="1" applyBorder="1" applyAlignment="1">
      <alignment vertical="center" wrapText="1"/>
    </xf>
    <xf numFmtId="0" fontId="43" fillId="2" borderId="18" xfId="4" applyFont="1" applyFill="1" applyBorder="1" applyAlignment="1" applyProtection="1">
      <alignment horizontal="left" vertical="center" wrapText="1"/>
      <protection locked="0"/>
    </xf>
    <xf numFmtId="0" fontId="1" fillId="0" borderId="19" xfId="4" applyBorder="1" applyAlignment="1" applyProtection="1">
      <alignment horizontal="left" vertical="center" wrapText="1"/>
      <protection locked="0"/>
    </xf>
    <xf numFmtId="0" fontId="1" fillId="0" borderId="11" xfId="4" applyBorder="1" applyAlignment="1">
      <alignment vertical="center"/>
    </xf>
    <xf numFmtId="0" fontId="1" fillId="0" borderId="14" xfId="4" applyBorder="1" applyAlignment="1" applyProtection="1">
      <alignment horizontal="left" vertical="center" wrapText="1"/>
      <protection locked="0"/>
    </xf>
    <xf numFmtId="0" fontId="1" fillId="0" borderId="4" xfId="4" applyBorder="1" applyAlignment="1" applyProtection="1">
      <alignment horizontal="left" vertical="center" wrapText="1"/>
      <protection locked="0"/>
    </xf>
    <xf numFmtId="0" fontId="1" fillId="0" borderId="22" xfId="4" applyBorder="1" applyAlignment="1">
      <alignment vertical="center"/>
    </xf>
    <xf numFmtId="0" fontId="39" fillId="6" borderId="4" xfId="4" applyFont="1" applyFill="1" applyBorder="1" applyAlignment="1">
      <alignment horizontal="left" vertical="center"/>
    </xf>
    <xf numFmtId="0" fontId="1" fillId="0" borderId="4" xfId="4" applyBorder="1"/>
    <xf numFmtId="0" fontId="52" fillId="0" borderId="3" xfId="4" applyFont="1" applyBorder="1" applyAlignment="1">
      <alignment horizontal="center" vertical="center" wrapText="1"/>
    </xf>
    <xf numFmtId="0" fontId="1" fillId="0" borderId="6" xfId="4" applyBorder="1" applyAlignment="1">
      <alignment horizontal="center" vertical="center" wrapText="1"/>
    </xf>
    <xf numFmtId="0" fontId="69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25" fillId="0" borderId="5" xfId="4" applyFont="1" applyBorder="1" applyAlignment="1">
      <alignment horizontal="right" vertical="center" wrapText="1"/>
    </xf>
    <xf numFmtId="0" fontId="25" fillId="0" borderId="3" xfId="4" applyFont="1" applyBorder="1" applyAlignment="1">
      <alignment horizontal="left" vertical="center" wrapText="1"/>
    </xf>
    <xf numFmtId="0" fontId="25" fillId="0" borderId="6" xfId="4" applyFont="1" applyBorder="1" applyAlignment="1">
      <alignment horizontal="left" vertical="center" wrapText="1"/>
    </xf>
    <xf numFmtId="0" fontId="25" fillId="8" borderId="16" xfId="4" applyFont="1" applyFill="1" applyBorder="1" applyAlignment="1">
      <alignment horizontal="center" vertical="center" wrapText="1"/>
    </xf>
    <xf numFmtId="0" fontId="28" fillId="2" borderId="15" xfId="4" applyFont="1" applyFill="1" applyBorder="1" applyAlignment="1" applyProtection="1">
      <alignment horizontal="center" vertical="center" wrapText="1"/>
      <protection locked="0"/>
    </xf>
    <xf numFmtId="0" fontId="28" fillId="0" borderId="15" xfId="4" applyFont="1" applyBorder="1" applyAlignment="1" applyProtection="1">
      <alignment horizontal="center" vertical="center" wrapText="1"/>
      <protection locked="0"/>
    </xf>
    <xf numFmtId="0" fontId="28" fillId="0" borderId="8" xfId="4" applyFont="1" applyBorder="1" applyAlignment="1" applyProtection="1">
      <alignment horizontal="center" vertical="center" wrapText="1"/>
      <protection locked="0"/>
    </xf>
    <xf numFmtId="0" fontId="29" fillId="0" borderId="8" xfId="4" applyFont="1" applyBorder="1" applyAlignment="1" applyProtection="1">
      <alignment vertical="center" wrapText="1"/>
      <protection locked="0"/>
    </xf>
    <xf numFmtId="0" fontId="25" fillId="0" borderId="13" xfId="4" applyFont="1" applyBorder="1" applyAlignment="1">
      <alignment horizontal="right" vertical="center" wrapText="1"/>
    </xf>
    <xf numFmtId="0" fontId="25" fillId="0" borderId="15" xfId="4" applyFont="1" applyBorder="1" applyAlignment="1">
      <alignment horizontal="right" vertical="center" wrapText="1"/>
    </xf>
    <xf numFmtId="0" fontId="32" fillId="17" borderId="18" xfId="0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7" fillId="5" borderId="15" xfId="4" applyFont="1" applyFill="1" applyBorder="1" applyAlignment="1" applyProtection="1">
      <alignment horizontal="center" vertical="center" wrapText="1"/>
      <protection locked="0"/>
    </xf>
    <xf numFmtId="0" fontId="31" fillId="5" borderId="15" xfId="4" applyFont="1" applyFill="1" applyBorder="1" applyAlignment="1" applyProtection="1">
      <alignment horizontal="center" vertical="center" wrapText="1"/>
      <protection locked="0"/>
    </xf>
    <xf numFmtId="0" fontId="31" fillId="5" borderId="8" xfId="4" applyFont="1" applyFill="1" applyBorder="1" applyAlignment="1" applyProtection="1">
      <alignment horizontal="center" vertical="center" wrapText="1"/>
      <protection locked="0"/>
    </xf>
    <xf numFmtId="0" fontId="27" fillId="5" borderId="8" xfId="4" applyFont="1" applyFill="1" applyBorder="1" applyAlignment="1" applyProtection="1">
      <alignment horizontal="center" vertical="center" wrapText="1"/>
      <protection locked="0"/>
    </xf>
    <xf numFmtId="14" fontId="27" fillId="5" borderId="15" xfId="4" applyNumberFormat="1" applyFont="1" applyFill="1" applyBorder="1" applyAlignment="1" applyProtection="1">
      <alignment horizontal="center" vertical="center" wrapText="1"/>
      <protection locked="0"/>
    </xf>
    <xf numFmtId="0" fontId="25" fillId="0" borderId="3" xfId="4" applyFont="1" applyBorder="1" applyAlignment="1">
      <alignment horizontal="right" vertical="center" wrapText="1"/>
    </xf>
    <xf numFmtId="0" fontId="25" fillId="0" borderId="6" xfId="4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31" fillId="7" borderId="3" xfId="4" applyFont="1" applyFill="1" applyBorder="1" applyAlignment="1">
      <alignment horizontal="center" vertical="center"/>
    </xf>
    <xf numFmtId="0" fontId="25" fillId="7" borderId="6" xfId="4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5" fillId="17" borderId="3" xfId="4" applyFont="1" applyFill="1" applyBorder="1" applyAlignment="1">
      <alignment horizontal="left" vertical="center" wrapText="1"/>
    </xf>
    <xf numFmtId="0" fontId="25" fillId="17" borderId="1" xfId="4" applyFont="1" applyFill="1" applyBorder="1" applyAlignment="1">
      <alignment horizontal="left" vertical="center" wrapText="1"/>
    </xf>
    <xf numFmtId="181" fontId="26" fillId="17" borderId="3" xfId="4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5" fillId="3" borderId="20" xfId="0" applyFont="1" applyFill="1" applyBorder="1" applyAlignment="1" applyProtection="1">
      <alignment horizontal="right" vertical="center" wrapText="1"/>
      <protection hidden="1"/>
    </xf>
    <xf numFmtId="0" fontId="25" fillId="3" borderId="26" xfId="0" applyFont="1" applyFill="1" applyBorder="1" applyAlignment="1" applyProtection="1">
      <alignment horizontal="right" vertical="center" wrapText="1"/>
      <protection hidden="1"/>
    </xf>
    <xf numFmtId="0" fontId="31" fillId="10" borderId="5" xfId="0" applyFont="1" applyFill="1" applyBorder="1" applyAlignment="1" applyProtection="1">
      <alignment horizontal="center" vertical="center" wrapText="1"/>
      <protection hidden="1"/>
    </xf>
    <xf numFmtId="0" fontId="39" fillId="6" borderId="0" xfId="4" applyFont="1" applyFill="1" applyAlignment="1">
      <alignment horizontal="left" vertical="center"/>
    </xf>
    <xf numFmtId="0" fontId="25" fillId="10" borderId="5" xfId="4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0" fontId="31" fillId="12" borderId="5" xfId="0" applyFont="1" applyFill="1" applyBorder="1" applyAlignment="1" applyProtection="1">
      <alignment horizontal="center" vertical="center" wrapText="1"/>
      <protection hidden="1"/>
    </xf>
    <xf numFmtId="0" fontId="31" fillId="22" borderId="5" xfId="0" applyFont="1" applyFill="1" applyBorder="1" applyAlignment="1" applyProtection="1">
      <alignment horizontal="center" vertical="center" wrapText="1"/>
      <protection hidden="1"/>
    </xf>
    <xf numFmtId="0" fontId="31" fillId="0" borderId="5" xfId="4" applyFont="1" applyBorder="1" applyAlignment="1">
      <alignment horizontal="center" vertical="center" wrapText="1"/>
    </xf>
    <xf numFmtId="0" fontId="25" fillId="19" borderId="13" xfId="4" applyFont="1" applyFill="1" applyBorder="1" applyAlignment="1" applyProtection="1">
      <alignment horizontal="right" vertical="center" shrinkToFit="1"/>
      <protection hidden="1"/>
    </xf>
    <xf numFmtId="0" fontId="25" fillId="19" borderId="15" xfId="4" applyFont="1" applyFill="1" applyBorder="1" applyAlignment="1" applyProtection="1">
      <alignment horizontal="right" vertical="center" shrinkToFit="1"/>
      <protection hidden="1"/>
    </xf>
    <xf numFmtId="0" fontId="8" fillId="19" borderId="8" xfId="0" applyFont="1" applyFill="1" applyBorder="1" applyAlignment="1" applyProtection="1">
      <alignment horizontal="right" vertical="center" shrinkToFit="1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43" fillId="2" borderId="18" xfId="4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2" xfId="0" applyBorder="1" applyAlignment="1">
      <alignment wrapText="1"/>
    </xf>
    <xf numFmtId="10" fontId="26" fillId="3" borderId="5" xfId="3" applyNumberFormat="1" applyFont="1" applyFill="1" applyBorder="1" applyAlignment="1" applyProtection="1">
      <alignment horizontal="center" vertical="center" wrapText="1"/>
      <protection hidden="1"/>
    </xf>
    <xf numFmtId="10" fontId="26" fillId="3" borderId="12" xfId="3" applyNumberFormat="1" applyFont="1" applyFill="1" applyBorder="1" applyAlignment="1" applyProtection="1">
      <alignment horizontal="center" vertical="center" wrapText="1"/>
      <protection hidden="1"/>
    </xf>
  </cellXfs>
  <cellStyles count="8">
    <cellStyle name="Milliers [0]" xfId="1" builtinId="6"/>
    <cellStyle name="Monétaire [0]" xfId="2" builtinId="7"/>
    <cellStyle name="Monétaire 2" xfId="5" xr:uid="{84D04B93-411A-4C2C-8F48-119ABFDCAC65}"/>
    <cellStyle name="Monétaire 3" xfId="6" xr:uid="{28CA1507-ACF2-48A2-A328-A01B94897912}"/>
    <cellStyle name="Normal" xfId="0" builtinId="0"/>
    <cellStyle name="Normal 2" xfId="4" xr:uid="{EE046D95-4259-4A10-9DEF-5D9B78A2DBDD}"/>
    <cellStyle name="Normal 3" xfId="7" xr:uid="{E69870BA-AD43-4124-B42D-F9602A54A105}"/>
    <cellStyle name="Pourcentage" xfId="3" builtinId="5"/>
  </cellStyles>
  <dxfs count="74"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b val="0"/>
        <i val="0"/>
        <strike val="0"/>
        <color rgb="FFFF0000"/>
      </font>
      <fill>
        <patternFill>
          <fgColor auto="1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FF0000"/>
      </font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  <fill>
        <patternFill>
          <bgColor rgb="FFD9D9D9"/>
        </patternFill>
      </fill>
    </dxf>
    <dxf>
      <font>
        <color rgb="FF9C0006"/>
      </font>
    </dxf>
    <dxf>
      <font>
        <color theme="0" tint="-0.24994659260841701"/>
      </font>
      <fill>
        <patternFill>
          <bgColor rgb="FFD9D9D9"/>
        </patternFill>
      </fill>
    </dxf>
    <dxf>
      <font>
        <b/>
        <i val="0"/>
        <color rgb="FFFF0000"/>
      </font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b val="0"/>
        <i val="0"/>
        <strike val="0"/>
        <color rgb="FFFF0000"/>
      </font>
      <fill>
        <patternFill>
          <fgColor auto="1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strike val="0"/>
        <color rgb="FFFF0000"/>
      </font>
    </dxf>
    <dxf>
      <font>
        <color rgb="FFC00000"/>
      </font>
    </dxf>
  </dxfs>
  <tableStyles count="0" defaultTableStyle="TableStyleMedium9" defaultPivotStyle="PivotStyleLight16"/>
  <colors>
    <mruColors>
      <color rgb="FF1F497D"/>
      <color rgb="FFD9D9D9"/>
      <color rgb="FFBFBFBF"/>
      <color rgb="FFFABF8F"/>
      <color rgb="FFE1EB81"/>
      <color rgb="FFF4750C"/>
      <color rgb="FFF8A15A"/>
      <color rgb="FFF58427"/>
      <color rgb="FFF7994B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22" dropStyle="combo" dx="16" fmlaLink="$A$73" fmlaRange="$B$74:$B$95" sel="22" val="0"/>
</file>

<file path=xl/ctrlProps/ctrlProp2.xml><?xml version="1.0" encoding="utf-8"?>
<formControlPr xmlns="http://schemas.microsoft.com/office/spreadsheetml/2009/9/main" objectType="Drop" dropLines="3" dropStyle="combo" dx="16" fmlaLink="$I$73" fmlaRange="$I$90:$I$92" sel="1" val="0"/>
</file>

<file path=xl/ctrlProps/ctrlProp3.xml><?xml version="1.0" encoding="utf-8"?>
<formControlPr xmlns="http://schemas.microsoft.com/office/spreadsheetml/2009/9/main" objectType="Drop" dropLines="21" dropStyle="combo" dx="16" fmlaLink="$A$73" fmlaRange="$B$73:$B$93" sel="21" val="0"/>
</file>

<file path=xl/ctrlProps/ctrlProp4.xml><?xml version="1.0" encoding="utf-8"?>
<formControlPr xmlns="http://schemas.microsoft.com/office/spreadsheetml/2009/9/main" objectType="Drop" dropLines="3" dropStyle="combo" dx="16" fmlaLink="$K$73" fmlaRange="$K$89:$K$9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16</xdr:row>
          <xdr:rowOff>38100</xdr:rowOff>
        </xdr:from>
        <xdr:to>
          <xdr:col>6</xdr:col>
          <xdr:colOff>400050</xdr:colOff>
          <xdr:row>16</xdr:row>
          <xdr:rowOff>361950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1135380</xdr:colOff>
          <xdr:row>10</xdr:row>
          <xdr:rowOff>38100</xdr:rowOff>
        </xdr:from>
        <xdr:to>
          <xdr:col>3</xdr:col>
          <xdr:colOff>971550</xdr:colOff>
          <xdr:row>10</xdr:row>
          <xdr:rowOff>342900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0</xdr:colOff>
      <xdr:row>0</xdr:row>
      <xdr:rowOff>26958</xdr:rowOff>
    </xdr:from>
    <xdr:ext cx="1135380" cy="896651"/>
    <xdr:pic>
      <xdr:nvPicPr>
        <xdr:cNvPr id="2" name="Image 1">
          <a:extLst>
            <a:ext uri="{FF2B5EF4-FFF2-40B4-BE49-F238E27FC236}">
              <a16:creationId xmlns:a16="http://schemas.microsoft.com/office/drawing/2014/main" id="{2E7445A9-3415-4DBB-9B1F-B0E8680C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958"/>
          <a:ext cx="1135380" cy="89665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15</xdr:row>
          <xdr:rowOff>152400</xdr:rowOff>
        </xdr:from>
        <xdr:to>
          <xdr:col>5</xdr:col>
          <xdr:colOff>594360</xdr:colOff>
          <xdr:row>17</xdr:row>
          <xdr:rowOff>7620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114300</xdr:colOff>
      <xdr:row>0</xdr:row>
      <xdr:rowOff>0</xdr:rowOff>
    </xdr:from>
    <xdr:ext cx="894715" cy="896651"/>
    <xdr:pic>
      <xdr:nvPicPr>
        <xdr:cNvPr id="2" name="Image 1">
          <a:extLst>
            <a:ext uri="{FF2B5EF4-FFF2-40B4-BE49-F238E27FC236}">
              <a16:creationId xmlns:a16="http://schemas.microsoft.com/office/drawing/2014/main" id="{4822A85E-DECC-4F3C-B2CF-40071B17E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894715" cy="89665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525780</xdr:colOff>
          <xdr:row>10</xdr:row>
          <xdr:rowOff>30480</xdr:rowOff>
        </xdr:from>
        <xdr:to>
          <xdr:col>3</xdr:col>
          <xdr:colOff>1028700</xdr:colOff>
          <xdr:row>10</xdr:row>
          <xdr:rowOff>373380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679B6-9941-4CFC-BD25-A1BD16A9F779}">
  <sheetPr>
    <tabColor rgb="FFFF0000"/>
  </sheetPr>
  <dimension ref="A1:AS115"/>
  <sheetViews>
    <sheetView tabSelected="1" zoomScaleNormal="100" zoomScaleSheetLayoutView="100" workbookViewId="0">
      <selection activeCell="B2" sqref="B2:D2"/>
    </sheetView>
  </sheetViews>
  <sheetFormatPr baseColWidth="10" defaultColWidth="8.90625" defaultRowHeight="15" x14ac:dyDescent="0.25"/>
  <cols>
    <col min="1" max="1" width="8.6328125" style="321" customWidth="1"/>
    <col min="2" max="2" width="18.453125" style="340" customWidth="1"/>
    <col min="3" max="6" width="12.6328125" style="321" customWidth="1"/>
    <col min="7" max="7" width="12.453125" style="321" customWidth="1"/>
    <col min="8" max="9" width="12.6328125" style="321" customWidth="1"/>
    <col min="10" max="12" width="11.81640625" style="321" customWidth="1"/>
    <col min="13" max="13" width="1.36328125" style="321" hidden="1" customWidth="1"/>
    <col min="14" max="14" width="1.36328125" style="388" hidden="1" customWidth="1"/>
    <col min="15" max="21" width="1.36328125" style="321" hidden="1" customWidth="1"/>
    <col min="22" max="22" width="8.90625" style="321" hidden="1" customWidth="1"/>
    <col min="23" max="23" width="13.453125" style="321" hidden="1" customWidth="1"/>
    <col min="24" max="26" width="8.90625" style="321" hidden="1" customWidth="1"/>
    <col min="27" max="42" width="8.90625" style="321"/>
    <col min="43" max="16384" width="8.90625" style="322"/>
  </cols>
  <sheetData>
    <row r="1" spans="1:44" ht="76.2" customHeight="1" thickBot="1" x14ac:dyDescent="0.3">
      <c r="A1" s="318"/>
      <c r="B1" s="319"/>
      <c r="C1" s="579" t="s">
        <v>245</v>
      </c>
      <c r="D1" s="579"/>
      <c r="E1" s="579"/>
      <c r="F1" s="579"/>
      <c r="G1" s="579"/>
      <c r="H1" s="579"/>
      <c r="I1" s="579"/>
      <c r="J1" s="579"/>
      <c r="K1" s="579"/>
      <c r="L1" s="318"/>
      <c r="M1" s="318"/>
      <c r="N1" s="320"/>
      <c r="O1" s="318"/>
      <c r="P1" s="318"/>
      <c r="Q1" s="318"/>
      <c r="R1" s="318"/>
    </row>
    <row r="2" spans="1:44" s="325" customFormat="1" ht="39.9" customHeight="1" thickBot="1" x14ac:dyDescent="0.3">
      <c r="A2" s="323" t="s">
        <v>0</v>
      </c>
      <c r="B2" s="580"/>
      <c r="C2" s="581"/>
      <c r="D2" s="582"/>
      <c r="E2" s="323" t="s">
        <v>1</v>
      </c>
      <c r="F2" s="580"/>
      <c r="G2" s="580"/>
      <c r="H2" s="583"/>
      <c r="I2" s="584" t="s">
        <v>2</v>
      </c>
      <c r="J2" s="585"/>
      <c r="K2" s="324"/>
      <c r="L2" s="318"/>
      <c r="M2" s="318"/>
      <c r="N2" s="320"/>
      <c r="O2" s="318"/>
      <c r="P2" s="318"/>
      <c r="Q2" s="318"/>
      <c r="R2" s="318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</row>
    <row r="3" spans="1:44" s="325" customFormat="1" ht="22.5" customHeight="1" x14ac:dyDescent="0.25">
      <c r="A3" s="79" t="s">
        <v>3</v>
      </c>
      <c r="B3" s="326"/>
      <c r="C3" s="327"/>
      <c r="D3" s="328"/>
      <c r="E3" s="329"/>
      <c r="F3" s="330"/>
      <c r="G3" s="331"/>
      <c r="H3" s="329"/>
      <c r="I3" s="330"/>
      <c r="J3" s="332"/>
      <c r="K3" s="332"/>
      <c r="L3" s="318"/>
      <c r="M3" s="318"/>
      <c r="N3" s="320"/>
      <c r="O3" s="318"/>
      <c r="P3" s="318"/>
      <c r="Q3" s="318"/>
      <c r="R3" s="318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</row>
    <row r="4" spans="1:44" s="336" customFormat="1" ht="30" customHeight="1" x14ac:dyDescent="0.25">
      <c r="A4" s="333"/>
      <c r="B4" s="334"/>
      <c r="C4" s="547" t="s">
        <v>4</v>
      </c>
      <c r="D4" s="548"/>
      <c r="E4" s="16"/>
      <c r="F4" s="335" t="s">
        <v>5</v>
      </c>
      <c r="G4" s="17"/>
      <c r="H4" s="335" t="s">
        <v>6</v>
      </c>
      <c r="I4" s="17"/>
      <c r="J4" s="335" t="s">
        <v>7</v>
      </c>
      <c r="K4" s="18">
        <f>(G4*I4)/60</f>
        <v>0</v>
      </c>
      <c r="M4" s="337"/>
      <c r="N4" s="320"/>
      <c r="O4" s="338"/>
      <c r="P4" s="337"/>
      <c r="Q4" s="329"/>
      <c r="R4" s="318"/>
      <c r="S4" s="321"/>
      <c r="T4" s="321"/>
      <c r="U4" s="321"/>
      <c r="V4" s="321"/>
      <c r="W4" s="321"/>
      <c r="X4" s="339"/>
      <c r="Y4" s="339"/>
      <c r="Z4" s="321"/>
      <c r="AA4" s="340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</row>
    <row r="5" spans="1:44" ht="17.100000000000001" customHeight="1" x14ac:dyDescent="0.25">
      <c r="A5" s="332"/>
      <c r="B5" s="341"/>
      <c r="C5" s="100"/>
      <c r="D5" s="4"/>
      <c r="E5" s="4"/>
      <c r="F5" s="4"/>
      <c r="G5" s="5"/>
      <c r="H5" s="342"/>
      <c r="I5" s="342"/>
      <c r="J5" s="342"/>
      <c r="K5" s="342"/>
      <c r="L5" s="318"/>
      <c r="M5" s="318"/>
      <c r="N5" s="320"/>
      <c r="O5" s="318"/>
      <c r="P5" s="318"/>
      <c r="Q5" s="318"/>
      <c r="R5" s="318"/>
    </row>
    <row r="6" spans="1:44" ht="30" customHeight="1" x14ac:dyDescent="0.25">
      <c r="A6" s="332"/>
      <c r="B6" s="343"/>
      <c r="C6" s="100"/>
      <c r="D6" s="4"/>
      <c r="E6" s="4"/>
      <c r="F6" s="4"/>
      <c r="G6" s="4"/>
      <c r="H6" s="342"/>
      <c r="I6" s="342"/>
      <c r="J6" s="344" t="s">
        <v>8</v>
      </c>
      <c r="K6" s="345">
        <f>IF($K$4=0,0,$E$4/$K$4)</f>
        <v>0</v>
      </c>
      <c r="L6" s="318"/>
      <c r="M6" s="318"/>
      <c r="N6" s="320"/>
      <c r="O6" s="346"/>
      <c r="P6" s="318"/>
      <c r="Q6" s="318"/>
      <c r="R6" s="318"/>
    </row>
    <row r="7" spans="1:44" x14ac:dyDescent="0.25">
      <c r="A7" s="347"/>
      <c r="B7" s="348"/>
      <c r="C7" s="348"/>
      <c r="D7" s="348"/>
      <c r="E7" s="348"/>
      <c r="F7" s="348"/>
      <c r="G7" s="318"/>
      <c r="H7" s="348"/>
      <c r="I7" s="318"/>
      <c r="J7" s="348"/>
      <c r="K7" s="348"/>
      <c r="L7" s="318"/>
      <c r="M7" s="318"/>
      <c r="N7" s="320"/>
      <c r="O7" s="318"/>
      <c r="P7" s="318"/>
      <c r="Q7" s="318"/>
      <c r="R7" s="318"/>
      <c r="AM7" s="322"/>
      <c r="AN7" s="322"/>
      <c r="AO7" s="322"/>
      <c r="AP7" s="322"/>
    </row>
    <row r="8" spans="1:44" s="336" customFormat="1" ht="30" customHeight="1" x14ac:dyDescent="0.25">
      <c r="A8" s="349"/>
      <c r="B8" s="350"/>
      <c r="C8" s="577" t="s">
        <v>263</v>
      </c>
      <c r="D8" s="578"/>
      <c r="E8" s="16"/>
      <c r="F8" s="15">
        <f>IF(E8="Yes",60%,49%)</f>
        <v>0.49</v>
      </c>
      <c r="I8" s="549" t="s">
        <v>11</v>
      </c>
      <c r="J8" s="550"/>
      <c r="K8" s="140" t="str">
        <f>IF(OR(A73=22,N(E$4)=0,K$6=0),"",IF(AND(OR(A73&lt;4,A73&gt;18),K6&gt;=750000),"Yes",IF(AND(AND(A73&gt;5,A73&lt;11),K6&gt;=400000),"Yes",IF(AND(AND(A73&gt;10,A73&lt;19),K6&gt;=800000),"Yes","No"))))</f>
        <v/>
      </c>
      <c r="L8" s="351" t="str">
        <f>IFERROR(IF(K8="Yes","N/A to animated productions",""),"")</f>
        <v/>
      </c>
      <c r="M8" s="318"/>
      <c r="N8" s="320"/>
      <c r="O8" s="318"/>
      <c r="P8" s="318"/>
      <c r="Q8" s="352"/>
      <c r="R8" s="352"/>
      <c r="S8" s="321"/>
      <c r="T8" s="340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</row>
    <row r="9" spans="1:44" hidden="1" x14ac:dyDescent="0.25">
      <c r="A9" s="332"/>
      <c r="B9" s="341"/>
      <c r="C9" s="100"/>
      <c r="D9" s="4"/>
      <c r="E9" s="4"/>
      <c r="F9" s="5"/>
      <c r="G9" s="318"/>
      <c r="H9" s="342"/>
      <c r="I9" s="342"/>
      <c r="J9" s="342"/>
      <c r="K9" s="342"/>
      <c r="L9" s="318"/>
      <c r="M9" s="318"/>
      <c r="N9" s="320"/>
      <c r="O9" s="318"/>
      <c r="P9" s="318"/>
      <c r="Q9" s="318"/>
      <c r="R9" s="318"/>
    </row>
    <row r="10" spans="1:44" s="336" customFormat="1" ht="30" customHeight="1" x14ac:dyDescent="0.25">
      <c r="A10" s="349"/>
      <c r="B10" s="353"/>
      <c r="C10" s="547" t="s">
        <v>10</v>
      </c>
      <c r="D10" s="548"/>
      <c r="E10" s="60"/>
      <c r="F10" s="318"/>
      <c r="H10" s="329"/>
      <c r="I10" s="549" t="s">
        <v>12</v>
      </c>
      <c r="J10" s="550"/>
      <c r="K10" s="18" t="str">
        <f>IF(N(E$4)=0,"",IF(E$4&gt;500000,"Yes","No"))</f>
        <v/>
      </c>
      <c r="L10" s="351" t="str">
        <f>IFERROR(IF(K10="Yes","N/A to live-to-air productions",""),"")</f>
        <v/>
      </c>
      <c r="M10" s="318"/>
      <c r="N10" s="320"/>
      <c r="O10" s="318"/>
      <c r="P10" s="318"/>
      <c r="Q10" s="352"/>
      <c r="R10" s="352"/>
      <c r="S10" s="321"/>
      <c r="T10" s="340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</row>
    <row r="11" spans="1:44" s="336" customFormat="1" ht="30" customHeight="1" x14ac:dyDescent="0.25">
      <c r="A11" s="349"/>
      <c r="B11" s="353"/>
      <c r="C11" s="354"/>
      <c r="D11" s="354"/>
      <c r="E11" s="16"/>
      <c r="F11" s="354"/>
      <c r="H11" s="354"/>
      <c r="O11" s="318"/>
      <c r="P11" s="318"/>
      <c r="Q11" s="352"/>
      <c r="R11" s="352"/>
      <c r="S11" s="321"/>
      <c r="T11" s="340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</row>
    <row r="12" spans="1:44" s="336" customFormat="1" ht="15.6" hidden="1" x14ac:dyDescent="0.25">
      <c r="A12" s="349"/>
      <c r="B12" s="353"/>
      <c r="C12" s="354"/>
      <c r="D12" s="354"/>
      <c r="E12" s="354"/>
      <c r="F12" s="354"/>
      <c r="H12" s="354"/>
      <c r="I12" s="318"/>
      <c r="J12" s="318"/>
      <c r="K12" s="318"/>
      <c r="L12" s="318"/>
      <c r="M12" s="318"/>
      <c r="N12" s="320"/>
      <c r="O12" s="318"/>
      <c r="P12" s="318"/>
      <c r="Q12" s="352"/>
      <c r="R12" s="352"/>
      <c r="S12" s="321"/>
      <c r="T12" s="340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</row>
    <row r="13" spans="1:44" s="336" customFormat="1" ht="30" customHeight="1" x14ac:dyDescent="0.25">
      <c r="A13" s="9"/>
      <c r="B13" s="574" t="s">
        <v>266</v>
      </c>
      <c r="C13" s="575"/>
      <c r="D13" s="575"/>
      <c r="E13" s="518"/>
      <c r="K13" s="351"/>
      <c r="L13" s="351"/>
      <c r="M13" s="318"/>
      <c r="N13" s="320"/>
      <c r="O13" s="318"/>
      <c r="P13" s="318"/>
      <c r="Q13" s="352"/>
      <c r="R13" s="352"/>
      <c r="S13" s="321"/>
      <c r="T13" s="340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</row>
    <row r="14" spans="1:44" s="336" customFormat="1" ht="30" customHeight="1" x14ac:dyDescent="0.25">
      <c r="A14" s="9"/>
      <c r="B14" s="551" t="s">
        <v>264</v>
      </c>
      <c r="C14" s="552"/>
      <c r="D14" s="553"/>
      <c r="E14" s="524" t="str">
        <f>IF(AND(I$73=2,$E$4&gt;0),MIN(ROUND(4%*$E$4,0),75000),"")</f>
        <v/>
      </c>
      <c r="K14" s="351"/>
      <c r="L14" s="351"/>
      <c r="M14" s="318"/>
      <c r="N14" s="320"/>
      <c r="O14" s="318"/>
      <c r="P14" s="318"/>
      <c r="Q14" s="352"/>
      <c r="R14" s="352"/>
      <c r="S14" s="321"/>
      <c r="T14" s="340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</row>
    <row r="15" spans="1:44" s="336" customFormat="1" ht="30" customHeight="1" x14ac:dyDescent="0.25">
      <c r="A15" s="9"/>
      <c r="B15" s="576" t="s">
        <v>268</v>
      </c>
      <c r="C15" s="576"/>
      <c r="D15" s="576"/>
      <c r="E15" s="523" t="str">
        <f>IF(E14="","",E13-E14)</f>
        <v/>
      </c>
      <c r="F15" s="354"/>
      <c r="H15" s="354"/>
      <c r="I15" s="351"/>
      <c r="J15" s="351"/>
      <c r="K15" s="351"/>
      <c r="L15" s="351"/>
      <c r="M15" s="318"/>
      <c r="N15" s="320"/>
      <c r="O15" s="318"/>
      <c r="P15" s="318"/>
      <c r="Q15" s="352"/>
      <c r="R15" s="352"/>
      <c r="S15" s="321"/>
      <c r="T15" s="340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</row>
    <row r="16" spans="1:44" x14ac:dyDescent="0.25">
      <c r="A16" s="347"/>
      <c r="B16" s="348"/>
      <c r="C16" s="348"/>
      <c r="D16" s="348"/>
      <c r="E16" s="348"/>
      <c r="F16" s="348"/>
      <c r="G16" s="318"/>
      <c r="H16" s="348"/>
      <c r="I16" s="318"/>
      <c r="J16" s="348"/>
      <c r="K16" s="348"/>
      <c r="L16" s="318"/>
      <c r="M16" s="318"/>
      <c r="N16" s="320"/>
      <c r="O16" s="318"/>
      <c r="P16" s="318"/>
      <c r="Q16" s="318"/>
      <c r="R16" s="318"/>
      <c r="AM16" s="322"/>
      <c r="AN16" s="322"/>
      <c r="AO16" s="322"/>
      <c r="AP16" s="322"/>
    </row>
    <row r="17" spans="1:44" ht="30" customHeight="1" x14ac:dyDescent="0.25">
      <c r="A17" s="549" t="s">
        <v>13</v>
      </c>
      <c r="B17" s="550"/>
      <c r="C17" s="101"/>
      <c r="D17" s="101"/>
      <c r="E17" s="101"/>
      <c r="F17" s="355"/>
      <c r="G17" s="348"/>
      <c r="H17" s="318"/>
      <c r="I17" s="318"/>
      <c r="J17" s="320"/>
      <c r="K17" s="318"/>
      <c r="L17" s="318"/>
      <c r="M17" s="348"/>
      <c r="N17" s="320"/>
      <c r="O17" s="318"/>
      <c r="P17" s="318"/>
      <c r="Q17" s="318"/>
      <c r="R17" s="318"/>
    </row>
    <row r="18" spans="1:44" x14ac:dyDescent="0.25">
      <c r="A18" s="347"/>
      <c r="B18" s="348"/>
      <c r="C18" s="501" t="s">
        <v>258</v>
      </c>
      <c r="D18" s="348"/>
      <c r="E18" s="348"/>
      <c r="F18" s="348"/>
      <c r="G18" s="318"/>
      <c r="H18" s="348"/>
      <c r="I18" s="318"/>
      <c r="J18" s="348"/>
      <c r="K18" s="348"/>
      <c r="L18" s="318"/>
      <c r="M18" s="318"/>
      <c r="N18" s="320"/>
      <c r="O18" s="318"/>
      <c r="P18" s="318"/>
      <c r="Q18" s="318"/>
      <c r="R18" s="318"/>
      <c r="AM18" s="322"/>
      <c r="AN18" s="322"/>
      <c r="AO18" s="322"/>
      <c r="AP18" s="322"/>
    </row>
    <row r="19" spans="1:44" x14ac:dyDescent="0.25">
      <c r="A19" s="347"/>
      <c r="B19" s="348"/>
      <c r="C19" s="348"/>
      <c r="D19" s="348"/>
      <c r="E19" s="348"/>
      <c r="F19" s="348"/>
      <c r="G19" s="318"/>
      <c r="H19" s="348"/>
      <c r="I19" s="318"/>
      <c r="J19" s="348"/>
      <c r="K19" s="348"/>
      <c r="L19" s="318"/>
      <c r="M19" s="318"/>
      <c r="N19" s="320"/>
      <c r="O19" s="318"/>
      <c r="P19" s="318"/>
      <c r="Q19" s="318"/>
      <c r="R19" s="318"/>
      <c r="AM19" s="322"/>
      <c r="AN19" s="322"/>
      <c r="AO19" s="322"/>
      <c r="AP19" s="322"/>
    </row>
    <row r="20" spans="1:44" s="67" customFormat="1" ht="13.8" x14ac:dyDescent="0.25">
      <c r="A20" s="501" t="s">
        <v>230</v>
      </c>
      <c r="B20" s="28"/>
      <c r="C20" s="68"/>
      <c r="D20" s="70"/>
      <c r="E20" s="70"/>
      <c r="F20" s="70"/>
      <c r="G20" s="69"/>
      <c r="H20" s="69"/>
      <c r="I20" s="69"/>
      <c r="J20" s="69"/>
      <c r="K20" s="69"/>
      <c r="L20" s="28"/>
      <c r="M20" s="28"/>
      <c r="N20" s="28"/>
      <c r="O20" s="26"/>
      <c r="P20" s="26"/>
      <c r="Q20" s="26"/>
      <c r="R20" s="26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</row>
    <row r="21" spans="1:44" s="67" customFormat="1" ht="13.8" x14ac:dyDescent="0.25">
      <c r="A21" s="501" t="s">
        <v>231</v>
      </c>
      <c r="B21" s="28"/>
      <c r="C21" s="68"/>
      <c r="D21" s="70"/>
      <c r="E21" s="70"/>
      <c r="F21" s="70"/>
      <c r="G21" s="69"/>
      <c r="H21" s="69"/>
      <c r="I21" s="69"/>
      <c r="J21" s="69"/>
      <c r="K21" s="69"/>
      <c r="L21" s="28"/>
      <c r="M21" s="28"/>
      <c r="N21" s="28"/>
      <c r="O21" s="26"/>
      <c r="P21" s="26"/>
      <c r="Q21" s="26"/>
      <c r="R21" s="26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</row>
    <row r="22" spans="1:44" ht="18.600000000000001" customHeight="1" x14ac:dyDescent="0.25">
      <c r="A22" s="356" t="s">
        <v>251</v>
      </c>
      <c r="B22" s="337"/>
      <c r="C22" s="102"/>
      <c r="D22" s="337"/>
      <c r="E22" s="318"/>
      <c r="F22" s="5"/>
      <c r="G22" s="320"/>
      <c r="H22" s="320"/>
      <c r="I22" s="320"/>
      <c r="J22" s="320"/>
      <c r="K22" s="320"/>
      <c r="N22" s="320"/>
      <c r="O22" s="320"/>
      <c r="P22" s="318"/>
      <c r="Q22" s="318"/>
      <c r="R22" s="318"/>
    </row>
    <row r="23" spans="1:44" ht="90" customHeight="1" x14ac:dyDescent="0.25">
      <c r="A23" s="554" t="s">
        <v>15</v>
      </c>
      <c r="B23" s="555"/>
      <c r="C23" s="357" t="s">
        <v>218</v>
      </c>
      <c r="D23" s="64" t="s">
        <v>257</v>
      </c>
      <c r="E23" s="64" t="s">
        <v>239</v>
      </c>
      <c r="F23" s="64" t="s">
        <v>206</v>
      </c>
      <c r="G23" s="63" t="s">
        <v>16</v>
      </c>
      <c r="H23" s="63" t="s">
        <v>17</v>
      </c>
      <c r="I23" s="63" t="s">
        <v>18</v>
      </c>
      <c r="J23" s="358" t="s">
        <v>211</v>
      </c>
      <c r="K23" s="358" t="s">
        <v>194</v>
      </c>
      <c r="L23" s="63" t="s">
        <v>20</v>
      </c>
      <c r="M23" s="322"/>
      <c r="N23" s="320"/>
      <c r="O23" s="348"/>
      <c r="P23" s="318"/>
      <c r="Q23" s="318"/>
      <c r="R23" s="318"/>
      <c r="V23" s="359" t="s">
        <v>19</v>
      </c>
      <c r="W23" s="360" t="s">
        <v>14</v>
      </c>
      <c r="AO23" s="322"/>
      <c r="AP23" s="322"/>
    </row>
    <row r="24" spans="1:44" s="369" customFormat="1" ht="15.6" x14ac:dyDescent="0.25">
      <c r="A24" s="361"/>
      <c r="B24" s="362"/>
      <c r="C24" s="363"/>
      <c r="D24" s="364"/>
      <c r="E24" s="365"/>
      <c r="F24" s="366"/>
      <c r="G24" s="365"/>
      <c r="H24" s="365"/>
      <c r="I24" s="365"/>
      <c r="J24" s="556" t="s">
        <v>247</v>
      </c>
      <c r="K24" s="557"/>
      <c r="L24" s="367"/>
      <c r="M24" s="309"/>
      <c r="N24" s="368"/>
      <c r="O24" s="368"/>
      <c r="P24" s="368"/>
      <c r="Q24" s="368"/>
      <c r="R24" s="368"/>
      <c r="S24" s="368"/>
      <c r="T24" s="368"/>
      <c r="V24" s="370"/>
      <c r="X24" s="368"/>
      <c r="Y24" s="309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</row>
    <row r="25" spans="1:44" s="369" customFormat="1" ht="15.6" x14ac:dyDescent="0.25">
      <c r="A25" s="361"/>
      <c r="B25" s="362"/>
      <c r="C25" s="363"/>
      <c r="D25" s="371" t="str">
        <f>IF(SUM(X26:X31)&gt;0,Z26,"")</f>
        <v/>
      </c>
      <c r="E25" s="372"/>
      <c r="F25" s="373"/>
      <c r="G25" s="372"/>
      <c r="H25" s="372"/>
      <c r="I25" s="372"/>
      <c r="J25" s="558"/>
      <c r="K25" s="559"/>
      <c r="L25" s="374"/>
      <c r="M25" s="309"/>
      <c r="N25" s="368"/>
      <c r="O25" s="368"/>
      <c r="P25" s="368"/>
      <c r="Q25" s="368"/>
      <c r="R25" s="368"/>
      <c r="S25" s="368"/>
      <c r="T25" s="368"/>
      <c r="V25" s="370"/>
      <c r="X25" s="368" t="s">
        <v>197</v>
      </c>
      <c r="Y25" s="309"/>
      <c r="Z25" s="368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</row>
    <row r="26" spans="1:44" ht="24.9" customHeight="1" x14ac:dyDescent="0.25">
      <c r="A26" s="108" t="s">
        <v>21</v>
      </c>
      <c r="B26" s="19"/>
      <c r="C26" s="88"/>
      <c r="D26" s="306"/>
      <c r="E26" s="306"/>
      <c r="F26" s="300"/>
      <c r="G26" s="375"/>
      <c r="H26" s="376">
        <f t="shared" ref="H26:H31" si="0">DATE(YEAR(G26),(MONTH(G26)+I26),DAY(G26))</f>
        <v>0</v>
      </c>
      <c r="I26" s="377"/>
      <c r="J26" s="377"/>
      <c r="K26" s="301"/>
      <c r="L26" s="377"/>
      <c r="N26" s="320"/>
      <c r="O26" s="318"/>
      <c r="P26" s="318"/>
      <c r="Q26" s="318"/>
      <c r="R26" s="318"/>
      <c r="V26" s="59"/>
      <c r="X26" s="378">
        <f t="shared" ref="X26:X31" si="1">IF(OR(AND(D26&lt;&gt;"",E26&lt;&gt;"",F26&lt;&gt;""),AND(D26&lt;&gt;"",E26&lt;&gt;""),AND(D26&lt;&gt;"",F26&lt;&gt;""),AND(E26&lt;&gt;"",F26&lt;&gt;"")),1,0)</f>
        <v>0</v>
      </c>
      <c r="Y26" s="309">
        <f t="shared" ref="Y26:Y31" si="2">IF(AND(D26="",E26&lt;&gt;""),1,0)</f>
        <v>0</v>
      </c>
      <c r="Z26" s="309" t="s">
        <v>198</v>
      </c>
      <c r="AO26" s="322"/>
      <c r="AP26" s="322"/>
    </row>
    <row r="27" spans="1:44" ht="24.9" customHeight="1" x14ac:dyDescent="0.25">
      <c r="A27" s="379" t="s">
        <v>22</v>
      </c>
      <c r="B27" s="19"/>
      <c r="C27" s="88"/>
      <c r="D27" s="307"/>
      <c r="E27" s="307"/>
      <c r="F27" s="307"/>
      <c r="G27" s="136"/>
      <c r="H27" s="380">
        <f t="shared" si="0"/>
        <v>0</v>
      </c>
      <c r="I27" s="59"/>
      <c r="J27" s="377"/>
      <c r="K27" s="301"/>
      <c r="L27" s="59"/>
      <c r="N27" s="320"/>
      <c r="O27" s="318"/>
      <c r="P27" s="318"/>
      <c r="Q27" s="318"/>
      <c r="R27" s="318"/>
      <c r="V27" s="59"/>
      <c r="X27" s="378">
        <f t="shared" si="1"/>
        <v>0</v>
      </c>
      <c r="Y27" s="309">
        <f t="shared" si="2"/>
        <v>0</v>
      </c>
      <c r="Z27" s="309" t="s">
        <v>216</v>
      </c>
      <c r="AO27" s="322"/>
      <c r="AP27" s="322"/>
    </row>
    <row r="28" spans="1:44" ht="24.9" customHeight="1" x14ac:dyDescent="0.25">
      <c r="A28" s="379" t="s">
        <v>23</v>
      </c>
      <c r="B28" s="19"/>
      <c r="C28" s="88"/>
      <c r="D28" s="307"/>
      <c r="E28" s="307"/>
      <c r="F28" s="307"/>
      <c r="G28" s="136"/>
      <c r="H28" s="380">
        <f t="shared" si="0"/>
        <v>0</v>
      </c>
      <c r="I28" s="59"/>
      <c r="J28" s="377"/>
      <c r="K28" s="301"/>
      <c r="L28" s="59"/>
      <c r="N28" s="320"/>
      <c r="O28" s="318"/>
      <c r="P28" s="318"/>
      <c r="Q28" s="318"/>
      <c r="R28" s="318"/>
      <c r="V28" s="59"/>
      <c r="X28" s="378">
        <f t="shared" si="1"/>
        <v>0</v>
      </c>
      <c r="Y28" s="309">
        <f t="shared" si="2"/>
        <v>0</v>
      </c>
      <c r="Z28" s="369"/>
      <c r="AO28" s="322"/>
      <c r="AP28" s="322"/>
    </row>
    <row r="29" spans="1:44" ht="24.9" customHeight="1" x14ac:dyDescent="0.25">
      <c r="A29" s="379" t="s">
        <v>24</v>
      </c>
      <c r="B29" s="19"/>
      <c r="C29" s="89"/>
      <c r="D29" s="307"/>
      <c r="E29" s="307"/>
      <c r="F29" s="307"/>
      <c r="G29" s="136"/>
      <c r="H29" s="380">
        <f t="shared" si="0"/>
        <v>0</v>
      </c>
      <c r="I29" s="59"/>
      <c r="J29" s="377"/>
      <c r="K29" s="301"/>
      <c r="L29" s="59"/>
      <c r="N29" s="320"/>
      <c r="O29" s="318"/>
      <c r="P29" s="318"/>
      <c r="Q29" s="318"/>
      <c r="R29" s="318"/>
      <c r="V29" s="59"/>
      <c r="X29" s="378">
        <f t="shared" si="1"/>
        <v>0</v>
      </c>
      <c r="Y29" s="309">
        <f t="shared" si="2"/>
        <v>0</v>
      </c>
      <c r="Z29" s="369"/>
      <c r="AO29" s="322"/>
      <c r="AP29" s="322"/>
    </row>
    <row r="30" spans="1:44" ht="24.9" customHeight="1" x14ac:dyDescent="0.25">
      <c r="A30" s="379" t="s">
        <v>25</v>
      </c>
      <c r="B30" s="19"/>
      <c r="C30" s="89"/>
      <c r="D30" s="307"/>
      <c r="E30" s="307"/>
      <c r="F30" s="307"/>
      <c r="G30" s="381"/>
      <c r="H30" s="380">
        <f t="shared" si="0"/>
        <v>0</v>
      </c>
      <c r="I30" s="59"/>
      <c r="J30" s="377"/>
      <c r="K30" s="301"/>
      <c r="L30" s="382"/>
      <c r="N30" s="320"/>
      <c r="O30" s="318"/>
      <c r="P30" s="318"/>
      <c r="Q30" s="318"/>
      <c r="R30" s="318"/>
      <c r="V30" s="59"/>
      <c r="X30" s="378">
        <f t="shared" si="1"/>
        <v>0</v>
      </c>
      <c r="Y30" s="309">
        <f t="shared" si="2"/>
        <v>0</v>
      </c>
      <c r="Z30" s="369"/>
      <c r="AO30" s="322"/>
      <c r="AP30" s="322"/>
    </row>
    <row r="31" spans="1:44" ht="24.9" customHeight="1" thickBot="1" x14ac:dyDescent="0.3">
      <c r="A31" s="379" t="s">
        <v>26</v>
      </c>
      <c r="B31" s="19"/>
      <c r="C31" s="90"/>
      <c r="D31" s="307"/>
      <c r="E31" s="307"/>
      <c r="F31" s="307"/>
      <c r="G31" s="381"/>
      <c r="H31" s="380">
        <f t="shared" si="0"/>
        <v>0</v>
      </c>
      <c r="I31" s="59"/>
      <c r="J31" s="377"/>
      <c r="K31" s="301"/>
      <c r="L31" s="382"/>
      <c r="N31" s="320"/>
      <c r="O31" s="318"/>
      <c r="P31" s="318"/>
      <c r="Q31" s="318"/>
      <c r="R31" s="318"/>
      <c r="V31" s="59"/>
      <c r="X31" s="378">
        <f t="shared" si="1"/>
        <v>0</v>
      </c>
      <c r="Y31" s="309">
        <f t="shared" si="2"/>
        <v>0</v>
      </c>
      <c r="Z31" s="369"/>
      <c r="AO31" s="322"/>
      <c r="AP31" s="322"/>
    </row>
    <row r="32" spans="1:44" ht="18" customHeight="1" thickBot="1" x14ac:dyDescent="0.3">
      <c r="A32" s="20"/>
      <c r="B32" s="21" t="s">
        <v>27</v>
      </c>
      <c r="C32" s="223">
        <f>SUM(C26:C31)</f>
        <v>0</v>
      </c>
      <c r="D32" s="223">
        <f>SUM(D26:D31)</f>
        <v>0</v>
      </c>
      <c r="E32" s="223">
        <f>SUM(E26:E31)</f>
        <v>0</v>
      </c>
      <c r="F32" s="223">
        <f>SUM(F26:F31)</f>
        <v>0</v>
      </c>
      <c r="G32" s="26"/>
      <c r="H32" s="26"/>
      <c r="I32" s="26"/>
      <c r="J32" s="26"/>
      <c r="K32" s="318"/>
      <c r="N32" s="320"/>
      <c r="O32" s="318"/>
      <c r="P32" s="318"/>
      <c r="Q32" s="318"/>
      <c r="R32" s="318"/>
      <c r="AO32" s="322"/>
      <c r="AP32" s="322"/>
    </row>
    <row r="33" spans="1:43" ht="22.5" customHeight="1" thickBot="1" x14ac:dyDescent="0.3">
      <c r="A33" s="560" t="str">
        <f>IF($E$10="No","N/A",IF($I$73=2,I91,IF($I$73=4,I93,IF($I$73=3,I92,"Incentive program"))))</f>
        <v>Incentive program</v>
      </c>
      <c r="B33" s="561"/>
      <c r="C33" s="222">
        <f>IF(E10="Yes",E11,0)</f>
        <v>0</v>
      </c>
      <c r="D33" s="33"/>
      <c r="E33" s="33"/>
      <c r="F33" s="383"/>
      <c r="G33" s="33"/>
      <c r="H33" s="348"/>
      <c r="I33" s="33"/>
      <c r="J33" s="384"/>
      <c r="K33" s="318"/>
      <c r="L33" s="322"/>
      <c r="M33" s="322"/>
      <c r="N33" s="320"/>
      <c r="O33" s="318"/>
      <c r="P33" s="318"/>
      <c r="Q33" s="318"/>
      <c r="R33" s="318"/>
    </row>
    <row r="34" spans="1:43" ht="17.100000000000001" customHeight="1" x14ac:dyDescent="0.25">
      <c r="A34" s="385"/>
      <c r="B34" s="386"/>
      <c r="C34" s="6"/>
      <c r="D34" s="6"/>
      <c r="E34" s="6"/>
      <c r="F34" s="6"/>
      <c r="G34" s="7"/>
      <c r="H34" s="7"/>
      <c r="I34" s="8"/>
      <c r="J34" s="319"/>
      <c r="K34" s="319"/>
      <c r="L34" s="319"/>
      <c r="M34" s="320"/>
      <c r="N34" s="320"/>
      <c r="O34" s="318"/>
      <c r="P34" s="318"/>
      <c r="Q34" s="318"/>
      <c r="R34" s="318"/>
      <c r="AP34" s="322"/>
    </row>
    <row r="35" spans="1:43" ht="21.75" customHeight="1" x14ac:dyDescent="0.25">
      <c r="A35" s="562" t="s">
        <v>28</v>
      </c>
      <c r="B35" s="564"/>
      <c r="C35" s="565"/>
      <c r="D35" s="565"/>
      <c r="E35" s="565"/>
      <c r="F35" s="565"/>
      <c r="G35" s="565"/>
      <c r="H35" s="565"/>
      <c r="I35" s="565"/>
      <c r="J35" s="565"/>
      <c r="K35" s="565"/>
      <c r="L35" s="566"/>
      <c r="M35" s="320"/>
      <c r="N35" s="320"/>
      <c r="O35" s="318"/>
      <c r="P35" s="318"/>
      <c r="Q35" s="318"/>
      <c r="R35" s="318"/>
      <c r="AM35" s="322"/>
      <c r="AN35" s="322"/>
      <c r="AO35" s="322"/>
      <c r="AP35" s="322"/>
    </row>
    <row r="36" spans="1:43" ht="21.75" customHeight="1" x14ac:dyDescent="0.25">
      <c r="A36" s="563"/>
      <c r="B36" s="567"/>
      <c r="C36" s="568"/>
      <c r="D36" s="568"/>
      <c r="E36" s="568"/>
      <c r="F36" s="568"/>
      <c r="G36" s="568"/>
      <c r="H36" s="568"/>
      <c r="I36" s="568"/>
      <c r="J36" s="568"/>
      <c r="K36" s="568"/>
      <c r="L36" s="569"/>
      <c r="M36" s="320"/>
      <c r="N36" s="320"/>
      <c r="O36" s="318"/>
      <c r="P36" s="318"/>
      <c r="Q36" s="318"/>
      <c r="R36" s="318"/>
      <c r="AM36" s="322"/>
      <c r="AN36" s="322"/>
      <c r="AO36" s="322"/>
      <c r="AP36" s="322"/>
    </row>
    <row r="37" spans="1:43" ht="17.100000000000001" customHeight="1" collapsed="1" x14ac:dyDescent="0.25">
      <c r="A37" s="387"/>
      <c r="B37" s="384"/>
      <c r="C37" s="384"/>
      <c r="D37" s="384"/>
      <c r="E37" s="384"/>
      <c r="F37" s="384"/>
      <c r="G37" s="384"/>
      <c r="H37" s="384"/>
      <c r="I37" s="384"/>
      <c r="J37" s="352"/>
      <c r="K37" s="318"/>
      <c r="L37" s="318"/>
      <c r="M37" s="320"/>
      <c r="N37" s="320"/>
      <c r="O37" s="318"/>
      <c r="P37" s="318"/>
      <c r="Q37" s="318"/>
      <c r="R37" s="318"/>
      <c r="AM37" s="322"/>
      <c r="AN37" s="322"/>
      <c r="AO37" s="322"/>
      <c r="AP37" s="322"/>
    </row>
    <row r="38" spans="1:43" s="325" customFormat="1" ht="30" customHeight="1" x14ac:dyDescent="0.25">
      <c r="A38" s="570" t="s">
        <v>224</v>
      </c>
      <c r="B38" s="570"/>
      <c r="C38" s="570"/>
      <c r="D38" s="570"/>
      <c r="E38" s="570"/>
      <c r="F38" s="570"/>
      <c r="G38" s="570"/>
      <c r="H38" s="571"/>
      <c r="I38" s="571"/>
      <c r="J38" s="571"/>
      <c r="K38" s="571"/>
      <c r="L38" s="571"/>
      <c r="M38" s="320"/>
      <c r="N38" s="320"/>
      <c r="O38" s="318"/>
      <c r="P38" s="318"/>
      <c r="Q38" s="318"/>
      <c r="R38" s="320"/>
      <c r="S38" s="388"/>
      <c r="T38" s="388"/>
      <c r="U38" s="388"/>
      <c r="V38" s="388"/>
      <c r="W38" s="388"/>
      <c r="X38" s="388"/>
      <c r="Y38" s="321"/>
      <c r="Z38" s="321"/>
      <c r="AA38" s="321"/>
      <c r="AB38" s="321"/>
      <c r="AC38" s="321"/>
      <c r="AD38" s="321"/>
      <c r="AE38" s="321"/>
      <c r="AF38" s="321"/>
      <c r="AG38" s="321"/>
      <c r="AH38" s="321"/>
      <c r="AI38" s="321"/>
      <c r="AJ38" s="321"/>
      <c r="AK38" s="321"/>
      <c r="AL38" s="321"/>
      <c r="AM38" s="321"/>
      <c r="AN38" s="321"/>
      <c r="AO38" s="321"/>
      <c r="AP38" s="321"/>
    </row>
    <row r="39" spans="1:43" ht="64.95" customHeight="1" x14ac:dyDescent="0.25">
      <c r="A39" s="572" t="s">
        <v>29</v>
      </c>
      <c r="B39" s="573"/>
      <c r="C39" s="525" t="str">
        <f>IF($D$32&gt;0,"Maximum Licence Fee Top-Up",
IF(AND($D$32=0,$E$32&gt;0),"Maximum Contribution","Maximum Licence Fee Top-Up/Contribution"))</f>
        <v>Maximum Licence Fee Top-Up/Contribution</v>
      </c>
      <c r="D39" s="359" t="s">
        <v>30</v>
      </c>
      <c r="E39" s="389" t="s">
        <v>31</v>
      </c>
      <c r="F39" s="390" t="s">
        <v>32</v>
      </c>
      <c r="G39" s="313" t="s">
        <v>207</v>
      </c>
      <c r="H39" s="313" t="s">
        <v>205</v>
      </c>
      <c r="I39" s="313" t="s">
        <v>212</v>
      </c>
      <c r="J39" s="391" t="s">
        <v>209</v>
      </c>
      <c r="K39" s="282" t="s">
        <v>210</v>
      </c>
      <c r="L39" s="282" t="s">
        <v>236</v>
      </c>
      <c r="N39" s="320"/>
      <c r="R39" s="320"/>
      <c r="S39" s="388"/>
      <c r="T39" s="388"/>
      <c r="U39" s="388"/>
      <c r="V39" s="108" t="s">
        <v>33</v>
      </c>
      <c r="W39" s="108" t="s">
        <v>34</v>
      </c>
      <c r="X39" s="108" t="s">
        <v>35</v>
      </c>
      <c r="AQ39" s="321"/>
    </row>
    <row r="40" spans="1:43" ht="15" customHeight="1" x14ac:dyDescent="0.25">
      <c r="A40" s="379" t="s">
        <v>21</v>
      </c>
      <c r="B40" s="392">
        <f>$B$26</f>
        <v>0</v>
      </c>
      <c r="C40" s="224">
        <f t="shared" ref="C40:C45" si="3">IF($C$46&gt;0,ROUND(E40/$E$46*$C$46,0),0)</f>
        <v>0</v>
      </c>
      <c r="D40" s="224">
        <f t="shared" ref="D40:D45" si="4">IF($D$46&gt;0,E40/$E$46*$D$46,0)</f>
        <v>0</v>
      </c>
      <c r="E40" s="225">
        <f t="shared" ref="E40:E45" si="5">IF($E$46=0,0,ROUND(+C26/C$32*E$46,0))</f>
        <v>0</v>
      </c>
      <c r="F40" s="226" t="str">
        <f t="shared" ref="F40:F45" si="6">IF($E$4=0,"",(C40+D40)/$E$4)</f>
        <v/>
      </c>
      <c r="G40" s="297">
        <f>IF($E$4=0,0,
IF(AND($D26&lt;&gt;"",$X26=0,$H59&lt;&gt;"N/A"),$H59,0))</f>
        <v>0</v>
      </c>
      <c r="H40" s="297">
        <f>IF(OR($E$4=0,$B60="Missing information"),0,
IF(AND($E26&lt;&gt;"",$X26=0,$H59&lt;&gt;"N/A"),$H59,
IF(AND($E26&lt;&gt;"",$X26=0,$H59="N/A"),$E26,0)))</f>
        <v>0</v>
      </c>
      <c r="I40" s="227" t="s">
        <v>36</v>
      </c>
      <c r="J40" s="297">
        <f t="shared" ref="J40:J45" si="7">N(G40)+N(H40)+N(I40)</f>
        <v>0</v>
      </c>
      <c r="K40" s="629" t="str">
        <f t="shared" ref="K40:K45" si="8">IF(E$4=0,"",J40/E$4)</f>
        <v/>
      </c>
      <c r="L40" s="297">
        <f t="shared" ref="L40:L45" si="9">IF(X26=1,0,
N(D26)+N(E26)+N(F26)-J40)</f>
        <v>0</v>
      </c>
      <c r="N40" s="320"/>
      <c r="R40" s="320"/>
      <c r="S40" s="388"/>
      <c r="T40" s="388"/>
      <c r="U40" s="388"/>
      <c r="V40" s="393">
        <f t="shared" ref="V40:V45" si="10">IF(I26&lt;84,I26,84)</f>
        <v>0</v>
      </c>
      <c r="W40" s="394"/>
      <c r="X40" s="395" t="s">
        <v>36</v>
      </c>
      <c r="AQ40" s="321"/>
    </row>
    <row r="41" spans="1:43" ht="15" customHeight="1" x14ac:dyDescent="0.25">
      <c r="A41" s="379" t="s">
        <v>22</v>
      </c>
      <c r="B41" s="392">
        <f>$B$27</f>
        <v>0</v>
      </c>
      <c r="C41" s="224">
        <f t="shared" si="3"/>
        <v>0</v>
      </c>
      <c r="D41" s="224">
        <f t="shared" si="4"/>
        <v>0</v>
      </c>
      <c r="E41" s="225">
        <f t="shared" si="5"/>
        <v>0</v>
      </c>
      <c r="F41" s="226" t="str">
        <f t="shared" si="6"/>
        <v/>
      </c>
      <c r="G41" s="297">
        <f>IF($E$4=0,0,
IF(AND($D27&lt;&gt;"",$X27=0,$H61&lt;&gt;"N/A"),$H61,0))</f>
        <v>0</v>
      </c>
      <c r="H41" s="297">
        <f>IF(OR($E$4=0,$B62="Missing information"),0,
IF(AND($E27&lt;&gt;"",$X27=0,$H61&lt;&gt;"N/A"),$H61,
IF(AND($E27&lt;&gt;"",$X27=0,$H61="N/A"),$E27,0)))</f>
        <v>0</v>
      </c>
      <c r="I41" s="224">
        <f>IF($I$46&gt;0,MIN(F27,(F27/$F$32)*I$46),0)</f>
        <v>0</v>
      </c>
      <c r="J41" s="297">
        <f t="shared" si="7"/>
        <v>0</v>
      </c>
      <c r="K41" s="629" t="str">
        <f t="shared" si="8"/>
        <v/>
      </c>
      <c r="L41" s="297">
        <f t="shared" si="9"/>
        <v>0</v>
      </c>
      <c r="N41" s="320"/>
      <c r="R41" s="320"/>
      <c r="S41" s="388"/>
      <c r="T41" s="388"/>
      <c r="U41" s="388"/>
      <c r="V41" s="393">
        <f t="shared" si="10"/>
        <v>0</v>
      </c>
      <c r="W41" s="394"/>
      <c r="X41" s="396">
        <f>IF(G27&gt;DATE(YEAR(G$26),MONTH(G$26)+W40,DAY(G$26)),G27,DATE(YEAR(G$26),MONTH(G$26)+W40,DAY(G$26)))</f>
        <v>0</v>
      </c>
      <c r="AQ41" s="321"/>
    </row>
    <row r="42" spans="1:43" ht="15" customHeight="1" x14ac:dyDescent="0.25">
      <c r="A42" s="379" t="s">
        <v>23</v>
      </c>
      <c r="B42" s="392">
        <f>$B$28</f>
        <v>0</v>
      </c>
      <c r="C42" s="224">
        <f t="shared" si="3"/>
        <v>0</v>
      </c>
      <c r="D42" s="224">
        <f t="shared" si="4"/>
        <v>0</v>
      </c>
      <c r="E42" s="225">
        <f t="shared" si="5"/>
        <v>0</v>
      </c>
      <c r="F42" s="226" t="str">
        <f t="shared" si="6"/>
        <v/>
      </c>
      <c r="G42" s="297">
        <f>IF($E$4=0,0,
IF(AND($D28&lt;&gt;"",$X28=0,$H63&lt;&gt;"N/A"),$H63,0))</f>
        <v>0</v>
      </c>
      <c r="H42" s="297">
        <f>IF(OR($E$4=0,$B64="Missing information"),0,
IF(AND($E28&lt;&gt;"",$X28=0,$H63&lt;&gt;"N/A"),$H63,
IF(AND($E28&lt;&gt;"",$X28=0,$H63="N/A"),$E28,0)))</f>
        <v>0</v>
      </c>
      <c r="I42" s="224">
        <f>IF($I$46&gt;0,MIN(F28,(F28/$F$32)*I$46),0)</f>
        <v>0</v>
      </c>
      <c r="J42" s="297">
        <f t="shared" si="7"/>
        <v>0</v>
      </c>
      <c r="K42" s="629" t="str">
        <f t="shared" si="8"/>
        <v/>
      </c>
      <c r="L42" s="297">
        <f t="shared" si="9"/>
        <v>0</v>
      </c>
      <c r="N42" s="320"/>
      <c r="R42" s="320"/>
      <c r="S42" s="388"/>
      <c r="T42" s="388"/>
      <c r="U42" s="388"/>
      <c r="V42" s="393">
        <f t="shared" si="10"/>
        <v>0</v>
      </c>
      <c r="W42" s="394"/>
      <c r="X42" s="396">
        <f>IF(G28&gt;DATE(YEAR(G$26),MONTH(G$26)+W40+W41,DAY(G$26)),G28,DATE(YEAR(G$26),MONTH(G$26)+W40+W$41,DAY(G$26)))</f>
        <v>0</v>
      </c>
      <c r="AQ42" s="321"/>
    </row>
    <row r="43" spans="1:43" ht="15" customHeight="1" x14ac:dyDescent="0.25">
      <c r="A43" s="379" t="s">
        <v>24</v>
      </c>
      <c r="B43" s="392">
        <f>$B$29</f>
        <v>0</v>
      </c>
      <c r="C43" s="224">
        <f t="shared" si="3"/>
        <v>0</v>
      </c>
      <c r="D43" s="224">
        <f t="shared" si="4"/>
        <v>0</v>
      </c>
      <c r="E43" s="225">
        <f t="shared" si="5"/>
        <v>0</v>
      </c>
      <c r="F43" s="226" t="str">
        <f t="shared" si="6"/>
        <v/>
      </c>
      <c r="G43" s="297">
        <f>IF($E$4=0,0,
IF(AND($D29&lt;&gt;"",$X29=0,$H65&lt;&gt;"N/A"),$H65,0))</f>
        <v>0</v>
      </c>
      <c r="H43" s="297">
        <f>IF(OR($E$4=0,$B66="Missing information"),0,
IF(AND($E29&lt;&gt;"",$X29=0,$H65&lt;&gt;"N/A"),$H65,
IF(AND($E29&lt;&gt;"",$X29=0,$H65="N/A"),$E29,0)))</f>
        <v>0</v>
      </c>
      <c r="I43" s="224">
        <f>IF($I$46&gt;0,MIN(F29,(F29/$F$32)*I$46),0)</f>
        <v>0</v>
      </c>
      <c r="J43" s="297">
        <f t="shared" si="7"/>
        <v>0</v>
      </c>
      <c r="K43" s="629" t="str">
        <f t="shared" si="8"/>
        <v/>
      </c>
      <c r="L43" s="297">
        <f t="shared" si="9"/>
        <v>0</v>
      </c>
      <c r="N43" s="320"/>
      <c r="R43" s="320"/>
      <c r="S43" s="388"/>
      <c r="T43" s="388"/>
      <c r="U43" s="388"/>
      <c r="V43" s="393">
        <f t="shared" si="10"/>
        <v>0</v>
      </c>
      <c r="W43" s="394"/>
      <c r="X43" s="396">
        <f>IF(G29&gt;DATE(YEAR(G$26),MONTH(G$26)+W$40+W$41+W42,DAY(G$26)),G29,DATE(YEAR(G$26),MONTH(G$26)+W$40+W$41+W42,DAY(G$26)))</f>
        <v>0</v>
      </c>
      <c r="AQ43" s="321"/>
    </row>
    <row r="44" spans="1:43" ht="15" customHeight="1" x14ac:dyDescent="0.25">
      <c r="A44" s="379" t="s">
        <v>25</v>
      </c>
      <c r="B44" s="392">
        <f>$B$30</f>
        <v>0</v>
      </c>
      <c r="C44" s="224">
        <f t="shared" si="3"/>
        <v>0</v>
      </c>
      <c r="D44" s="224">
        <f t="shared" si="4"/>
        <v>0</v>
      </c>
      <c r="E44" s="225">
        <f t="shared" si="5"/>
        <v>0</v>
      </c>
      <c r="F44" s="226" t="str">
        <f t="shared" si="6"/>
        <v/>
      </c>
      <c r="G44" s="297">
        <f>IF($E$4=0,0,
IF(AND($D30&lt;&gt;"",$X30=0,$H67&lt;&gt;"N/A"),$H67,0))</f>
        <v>0</v>
      </c>
      <c r="H44" s="297">
        <f>IF(OR($E$4=0,$B68="Missing information"),0,
IF(AND($E30&lt;&gt;"",$X30=0,$H67&lt;&gt;"N/A"),$H67,
IF(AND($E30&lt;&gt;"",$X30=0,$H67="N/A"),$E30,0)))</f>
        <v>0</v>
      </c>
      <c r="I44" s="224">
        <f>IF($I$46&gt;0,MIN(F30,(F30/$F$32)*I$46),0)</f>
        <v>0</v>
      </c>
      <c r="J44" s="297">
        <f t="shared" si="7"/>
        <v>0</v>
      </c>
      <c r="K44" s="629" t="str">
        <f t="shared" si="8"/>
        <v/>
      </c>
      <c r="L44" s="297">
        <f t="shared" si="9"/>
        <v>0</v>
      </c>
      <c r="N44" s="320"/>
      <c r="R44" s="320"/>
      <c r="S44" s="388"/>
      <c r="T44" s="388"/>
      <c r="U44" s="388"/>
      <c r="V44" s="393">
        <f t="shared" si="10"/>
        <v>0</v>
      </c>
      <c r="W44" s="394"/>
      <c r="X44" s="396">
        <f>IF(G30&gt;DATE(YEAR(G$26),MONTH(G$26)+W$40+W$41+W42+W43,DAY(G$26)),G30,DATE(YEAR(G$26),MONTH(G$26)+W$40+W$41+W42+W43,DAY(G$26)))</f>
        <v>0</v>
      </c>
      <c r="AQ44" s="321"/>
    </row>
    <row r="45" spans="1:43" ht="15" customHeight="1" thickBot="1" x14ac:dyDescent="0.3">
      <c r="A45" s="108" t="s">
        <v>26</v>
      </c>
      <c r="B45" s="397">
        <f>$B$31</f>
        <v>0</v>
      </c>
      <c r="C45" s="228">
        <f t="shared" si="3"/>
        <v>0</v>
      </c>
      <c r="D45" s="228">
        <f t="shared" si="4"/>
        <v>0</v>
      </c>
      <c r="E45" s="229">
        <f t="shared" si="5"/>
        <v>0</v>
      </c>
      <c r="F45" s="226" t="str">
        <f t="shared" si="6"/>
        <v/>
      </c>
      <c r="G45" s="297">
        <f>IF($E$4=0,0,
IF(AND($D31&lt;&gt;"",$X31=0,$H69&lt;&gt;"N/A"),$H69,0))</f>
        <v>0</v>
      </c>
      <c r="H45" s="297">
        <f>IF(OR($E$4=0,$B70="Missing information"),0,
IF(AND($E31&lt;&gt;"",$X31=0,$H69&lt;&gt;"N/A"),$H69,
IF(AND($E31&lt;&gt;"",$X31=0,$H69="N/A"),$E31,0)))</f>
        <v>0</v>
      </c>
      <c r="I45" s="224">
        <f>IF($I$46&gt;0,MIN(F31,(F31/$F$32)*I$46),0)</f>
        <v>0</v>
      </c>
      <c r="J45" s="297">
        <f t="shared" si="7"/>
        <v>0</v>
      </c>
      <c r="K45" s="630" t="str">
        <f t="shared" si="8"/>
        <v/>
      </c>
      <c r="L45" s="297">
        <f t="shared" si="9"/>
        <v>0</v>
      </c>
      <c r="N45" s="320"/>
      <c r="R45" s="320"/>
      <c r="S45" s="388"/>
      <c r="T45" s="388"/>
      <c r="U45" s="388"/>
      <c r="V45" s="393">
        <f t="shared" si="10"/>
        <v>0</v>
      </c>
      <c r="W45" s="394"/>
      <c r="X45" s="396">
        <f>IF(G31&gt;DATE(YEAR(G$26),MONTH(G$26)+W$40+W$41+W42+W43+W44,DAY(G$26)),G31,DATE(YEAR(G$26),MONTH(G$26)+W$40+W$41+W42+W43+W44,DAY(G$26)))</f>
        <v>0</v>
      </c>
      <c r="AQ45" s="321"/>
    </row>
    <row r="46" spans="1:43" ht="15.6" thickBot="1" x14ac:dyDescent="0.3">
      <c r="A46" s="398"/>
      <c r="B46" s="230" t="s">
        <v>37</v>
      </c>
      <c r="C46" s="231">
        <f>IF(E46-($E$4*0.2)&lt;$A$74,E46,IF((E4*0.2)&lt;E46,ROUND(E4*0.2,0),E46))</f>
        <v>0</v>
      </c>
      <c r="D46" s="231">
        <f>E46-C46</f>
        <v>0</v>
      </c>
      <c r="E46" s="231">
        <f>IF(MAX(F$99:F$102)&lt;C32,MAX(F$99:F$102),C32)</f>
        <v>0</v>
      </c>
      <c r="F46" s="232">
        <f>SUM(F40:F45)</f>
        <v>0</v>
      </c>
      <c r="G46" s="231">
        <f>SUM(G40:G45)</f>
        <v>0</v>
      </c>
      <c r="H46" s="231">
        <f>SUM(H40:H45)</f>
        <v>0</v>
      </c>
      <c r="I46" s="231">
        <f>IF($H$46+$G$46=0,0,IF(F$32&lt;=MAX(G75:G83),F$32,MAX(G75:G83)))</f>
        <v>0</v>
      </c>
      <c r="J46" s="231">
        <f>H46+I46+G46</f>
        <v>0</v>
      </c>
      <c r="K46" s="233">
        <f>SUM(K40:K45)</f>
        <v>0</v>
      </c>
      <c r="L46" s="283">
        <f>SUM(L40:L45)</f>
        <v>0</v>
      </c>
      <c r="M46" s="322"/>
      <c r="N46" s="320"/>
      <c r="O46" s="318"/>
      <c r="P46" s="318"/>
      <c r="Q46" s="318"/>
      <c r="R46" s="320"/>
      <c r="S46" s="388"/>
      <c r="T46" s="388"/>
      <c r="U46" s="388"/>
      <c r="V46" s="388"/>
      <c r="W46" s="388"/>
      <c r="X46" s="388"/>
      <c r="AP46" s="322"/>
    </row>
    <row r="47" spans="1:43" ht="22.5" customHeight="1" thickBot="1" x14ac:dyDescent="0.3">
      <c r="A47" s="348"/>
      <c r="B47" s="399"/>
      <c r="C47" s="545" t="str">
        <f>A33</f>
        <v>Incentive program</v>
      </c>
      <c r="D47" s="546"/>
      <c r="E47" s="231">
        <f>IF(E10="Yes",MIN(E11,MAX(I100:I102)),0)</f>
        <v>0</v>
      </c>
      <c r="F47" s="235">
        <f>IF(AND($E$10="Yes",$E$11&gt;0),$E$47/$E$4,0)</f>
        <v>0</v>
      </c>
      <c r="G47" s="400"/>
      <c r="H47" s="400"/>
      <c r="I47" s="322"/>
      <c r="J47" s="399"/>
      <c r="K47" s="399"/>
      <c r="L47" s="400"/>
      <c r="M47" s="320"/>
      <c r="N47" s="320"/>
      <c r="O47" s="318"/>
      <c r="P47" s="320"/>
      <c r="Q47" s="320"/>
      <c r="R47" s="318"/>
      <c r="S47" s="401"/>
      <c r="T47" s="401"/>
    </row>
    <row r="48" spans="1:43" s="403" customFormat="1" ht="17.100000000000001" customHeight="1" x14ac:dyDescent="0.25">
      <c r="A48" s="298" t="s">
        <v>214</v>
      </c>
      <c r="B48" s="135"/>
      <c r="C48" s="135"/>
      <c r="D48" s="135"/>
      <c r="E48" s="135"/>
      <c r="F48" s="237"/>
      <c r="G48" s="237"/>
      <c r="H48" s="511" t="str">
        <f>IF(AND($A$73&lt;11,G46+H46&gt;0,F32&gt;0,E4&gt;0,SUM(N(D75),N(D76),N(D77),N(D78),N(D80),N(D81),N(D82),N(D83))&gt;0),"ELF + EDA / Threshold:","")</f>
        <v/>
      </c>
      <c r="I48" s="510" t="str">
        <f>IF(AND($A$73&lt;11,G46+H46&gt;0,F32&gt;0,E4&gt;0,SUM(N(D75),N(D76),N(D77),N(D78),N(D80),N(D81),N(D82),N(D83))&gt;0),
(G46+H46)/SUM(N(D75),N(D76),N(D77),N(D78),N(D80),N(D81),N(D82),N(D83)),
"")</f>
        <v/>
      </c>
      <c r="K48" s="404"/>
      <c r="L48" s="404"/>
      <c r="M48" s="320"/>
      <c r="N48" s="320"/>
      <c r="O48" s="405"/>
      <c r="P48" s="320"/>
      <c r="Q48" s="320"/>
      <c r="R48" s="405"/>
      <c r="S48" s="401"/>
      <c r="T48" s="401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406"/>
      <c r="AJ48" s="406"/>
      <c r="AK48" s="406"/>
      <c r="AL48" s="406"/>
      <c r="AM48" s="406"/>
      <c r="AN48" s="406"/>
      <c r="AO48" s="406"/>
      <c r="AP48" s="406"/>
    </row>
    <row r="49" spans="1:42" s="403" customFormat="1" ht="17.100000000000001" hidden="1" customHeight="1" x14ac:dyDescent="0.25">
      <c r="A49" s="298"/>
      <c r="B49" s="135"/>
      <c r="C49" s="135"/>
      <c r="D49" s="135"/>
      <c r="E49" s="135"/>
      <c r="F49" s="237"/>
      <c r="G49" s="237"/>
      <c r="H49" s="402"/>
      <c r="I49" s="285"/>
      <c r="K49" s="404"/>
      <c r="L49" s="404"/>
      <c r="M49" s="320"/>
      <c r="N49" s="320"/>
      <c r="O49" s="405"/>
      <c r="P49" s="320"/>
      <c r="Q49" s="320"/>
      <c r="R49" s="405"/>
      <c r="S49" s="401"/>
      <c r="T49" s="401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6"/>
      <c r="AJ49" s="406"/>
      <c r="AK49" s="406"/>
      <c r="AL49" s="406"/>
      <c r="AM49" s="406"/>
      <c r="AN49" s="406"/>
      <c r="AO49" s="406"/>
      <c r="AP49" s="406"/>
    </row>
    <row r="50" spans="1:42" s="399" customFormat="1" ht="18" hidden="1" customHeight="1" x14ac:dyDescent="0.25">
      <c r="A50" s="407" t="s">
        <v>200</v>
      </c>
      <c r="B50" s="408"/>
      <c r="C50" s="369"/>
      <c r="D50" s="369"/>
      <c r="E50" s="369"/>
      <c r="F50" s="369"/>
      <c r="G50" s="369"/>
      <c r="H50" s="369"/>
      <c r="I50" s="369"/>
      <c r="J50" s="369"/>
      <c r="K50" s="369"/>
      <c r="L50" s="409"/>
      <c r="M50" s="409"/>
      <c r="N50" s="409"/>
      <c r="O50" s="409"/>
      <c r="P50" s="409"/>
      <c r="Q50" s="409"/>
      <c r="R50" s="409"/>
      <c r="S50" s="409"/>
      <c r="T50" s="409"/>
      <c r="U50" s="309"/>
      <c r="V50" s="409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09"/>
      <c r="AL50" s="409"/>
      <c r="AM50" s="409"/>
      <c r="AN50" s="409"/>
      <c r="AO50" s="409"/>
    </row>
    <row r="51" spans="1:42" s="369" customFormat="1" ht="34.5" hidden="1" customHeight="1" x14ac:dyDescent="0.25">
      <c r="A51" s="530" t="s">
        <v>215</v>
      </c>
      <c r="B51" s="531"/>
      <c r="C51" s="531"/>
      <c r="D51" s="531"/>
      <c r="E51" s="531"/>
      <c r="F51" s="531"/>
      <c r="G51" s="531"/>
      <c r="H51" s="531"/>
      <c r="I51" s="531"/>
      <c r="J51" s="531"/>
      <c r="K51" s="531"/>
      <c r="L51" s="404"/>
      <c r="M51" s="309"/>
      <c r="N51" s="309"/>
      <c r="O51" s="309"/>
      <c r="P51" s="309"/>
      <c r="Q51" s="309"/>
      <c r="R51" s="309"/>
      <c r="S51" s="309"/>
      <c r="T51" s="309"/>
      <c r="U51" s="309"/>
      <c r="V51" s="409"/>
      <c r="W51" s="409"/>
      <c r="X51" s="409"/>
      <c r="Y51" s="409"/>
      <c r="Z51" s="409"/>
      <c r="AA51" s="309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  <c r="AL51" s="309"/>
      <c r="AM51" s="309"/>
      <c r="AN51" s="309"/>
      <c r="AO51" s="309"/>
    </row>
    <row r="52" spans="1:42" s="369" customFormat="1" ht="9.9" hidden="1" customHeight="1" x14ac:dyDescent="0.25">
      <c r="A52" s="410"/>
      <c r="B52" s="410"/>
      <c r="C52" s="410"/>
      <c r="D52" s="410"/>
      <c r="E52" s="410"/>
      <c r="F52" s="410"/>
      <c r="G52" s="410"/>
      <c r="H52" s="410"/>
      <c r="I52" s="410"/>
      <c r="J52" s="410"/>
      <c r="K52" s="410"/>
      <c r="L52" s="404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</row>
    <row r="53" spans="1:42" s="369" customFormat="1" ht="30" hidden="1" customHeight="1" x14ac:dyDescent="0.25">
      <c r="A53" s="410"/>
      <c r="B53" s="411"/>
      <c r="C53" s="412" t="str">
        <f>IF(AND(E26&gt;0,X26=0,B26&lt;&gt;""),B26,"")</f>
        <v/>
      </c>
      <c r="D53" s="412" t="str">
        <f>IF(AND(E27&gt;0,X27=0,B27&lt;&gt;""),B27,"")</f>
        <v/>
      </c>
      <c r="E53" s="412" t="str">
        <f>IF(AND(E28&gt;0,X28=0,B28&lt;&gt;""),B28,"")</f>
        <v/>
      </c>
      <c r="F53" s="412" t="str">
        <f>IF(AND(E29&gt;0,X29=0,B29&lt;&gt;""),B29,"")</f>
        <v/>
      </c>
      <c r="G53" s="412" t="str">
        <f>IF(AND(E30&gt;0,X30=0,B30&lt;&gt;""),B30,"")</f>
        <v/>
      </c>
      <c r="H53" s="412" t="str">
        <f>IF(AND(E31&gt;0,X31=0,B31&lt;&gt;""),B31,"")</f>
        <v/>
      </c>
      <c r="I53" s="410"/>
      <c r="J53" s="410"/>
      <c r="K53" s="410"/>
      <c r="L53" s="404"/>
      <c r="M53" s="309"/>
      <c r="N53" s="309"/>
      <c r="O53" s="309"/>
      <c r="P53" s="309"/>
      <c r="Q53" s="309"/>
      <c r="R53" s="309"/>
      <c r="S53" s="309"/>
      <c r="T53" s="309"/>
      <c r="U53" s="309"/>
      <c r="V53" s="409"/>
      <c r="W53" s="409"/>
      <c r="X53" s="409"/>
      <c r="Y53" s="409"/>
      <c r="Z53" s="4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</row>
    <row r="54" spans="1:42" s="369" customFormat="1" ht="20.100000000000001" hidden="1" customHeight="1" x14ac:dyDescent="0.25">
      <c r="A54" s="410"/>
      <c r="B54" s="411"/>
      <c r="C54" s="310" t="s">
        <v>21</v>
      </c>
      <c r="D54" s="310" t="s">
        <v>22</v>
      </c>
      <c r="E54" s="310" t="s">
        <v>23</v>
      </c>
      <c r="F54" s="310" t="s">
        <v>24</v>
      </c>
      <c r="G54" s="310" t="s">
        <v>25</v>
      </c>
      <c r="H54" s="310" t="s">
        <v>26</v>
      </c>
      <c r="I54" s="410"/>
      <c r="J54" s="410"/>
      <c r="K54" s="410"/>
      <c r="L54" s="404"/>
      <c r="M54" s="309"/>
      <c r="N54" s="309"/>
      <c r="O54" s="309"/>
      <c r="P54" s="309"/>
      <c r="Q54" s="309"/>
      <c r="R54" s="309"/>
      <c r="S54" s="309"/>
      <c r="T54" s="309"/>
      <c r="U54" s="309"/>
      <c r="V54" s="409"/>
      <c r="W54" s="409"/>
      <c r="X54" s="409"/>
      <c r="Y54" s="409"/>
      <c r="Z54" s="4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</row>
    <row r="55" spans="1:42" s="369" customFormat="1" ht="20.100000000000001" hidden="1" customHeight="1" x14ac:dyDescent="0.25">
      <c r="A55" s="532" t="s">
        <v>213</v>
      </c>
      <c r="B55" s="533"/>
      <c r="C55" s="413" t="str">
        <f>IF(OR($E$4="",E26="",X26=1,J26=0,K26=0),"",
IF(V59=TRUE,"Yes","No"))</f>
        <v/>
      </c>
      <c r="D55" s="413" t="str">
        <f>IF(OR($E$4="",E27="",X27=1,J27="",K27=""),"",
IF($V61=TRUE,"Yes","No"))</f>
        <v/>
      </c>
      <c r="E55" s="413" t="str">
        <f>IF(OR($E$4="",E28="",X28=1,J28="",K28=""),"",
IF($V63=TRUE,"Yes","No"))</f>
        <v/>
      </c>
      <c r="F55" s="413" t="str">
        <f>IF(OR($E$4="",E29="",X29=1,J29="",K29=""),"",
IF($V65=TRUE,"Yes","No"))</f>
        <v/>
      </c>
      <c r="G55" s="413" t="str">
        <f>IF(OR($E$4="",E30="",X30=1,J30="",K30=""),"",
IF($V67=TRUE,"Yes","No"))</f>
        <v/>
      </c>
      <c r="H55" s="413" t="str">
        <f>IF(OR($E$4="",E31="",X31=1,J31="",K31=""),"",
IF($V69=TRUE,"Yes","No"))</f>
        <v/>
      </c>
      <c r="I55" s="410"/>
      <c r="J55" s="410"/>
      <c r="K55" s="410"/>
      <c r="L55" s="404"/>
      <c r="M55" s="309"/>
      <c r="N55" s="309"/>
      <c r="O55" s="309"/>
      <c r="P55" s="309"/>
      <c r="Q55" s="309"/>
      <c r="R55" s="309"/>
      <c r="S55" s="309"/>
      <c r="T55" s="309"/>
      <c r="U55" s="309"/>
      <c r="V55" s="409"/>
      <c r="W55" s="409"/>
      <c r="X55" s="409"/>
      <c r="Y55" s="409"/>
      <c r="Z55" s="4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09"/>
      <c r="AK55" s="309"/>
      <c r="AL55" s="309"/>
      <c r="AM55" s="309"/>
      <c r="AN55" s="309"/>
    </row>
    <row r="56" spans="1:42" s="369" customFormat="1" ht="19.5" hidden="1" customHeight="1" x14ac:dyDescent="0.25">
      <c r="A56" s="534" t="s">
        <v>199</v>
      </c>
      <c r="B56" s="535"/>
      <c r="C56" s="413" t="str">
        <f>IF(C55="","",
IF(AND(C55="",I26=""),"",
IF(C55="No","N/A",
IF(AND($C55="Yes",D59-F59&gt;0),"No","Yes"))))</f>
        <v/>
      </c>
      <c r="D56" s="413" t="str">
        <f>IF(D55="","",
IF(AND(D55="Yes",I27=""),"",
IF(D55="No","N/A",
IF(AND(D55="Yes",D61-F61&gt;0),"No","Yes"))))</f>
        <v/>
      </c>
      <c r="E56" s="413" t="str">
        <f>IF(E55="","",
IF(AND(E55="",I28=""),"",
IF(E55="No","N/A",
IF(AND(E55="Yes",D63-F63&gt;0),"No","Yes"))))</f>
        <v/>
      </c>
      <c r="F56" s="413" t="str">
        <f>IF(F55="","",
IF(AND(F55="",I29=""),"",
IF(F55="No","N/A",
IF(AND(F55="Yes",D65-F65&gt;0),"No","Yes"))))</f>
        <v/>
      </c>
      <c r="G56" s="413" t="str">
        <f>IF(G55="","",
IF(AND(G55="",I30=""),"",
IF(G55="No","N/A",
IF(AND(G55="Yes",D67-F67&gt;0),"No","Yes"))))</f>
        <v/>
      </c>
      <c r="H56" s="413" t="str">
        <f>IF(H55="","",
IF(AND(H55="",I31=""),"",
IF(H55="No","N/A",
IF(AND(H55="Yes",D69-F69&gt;0),"No","Yes"))))</f>
        <v/>
      </c>
      <c r="I56" s="410"/>
      <c r="J56" s="410"/>
      <c r="K56" s="410"/>
      <c r="M56" s="309"/>
      <c r="N56" s="309"/>
      <c r="O56" s="309"/>
      <c r="P56" s="309"/>
      <c r="Q56" s="309"/>
      <c r="R56" s="309"/>
      <c r="S56" s="309"/>
      <c r="T56" s="309"/>
      <c r="U56" s="409"/>
      <c r="V56" s="409"/>
      <c r="W56" s="409"/>
      <c r="X56" s="409"/>
      <c r="Y56" s="409"/>
      <c r="Z56" s="4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</row>
    <row r="57" spans="1:42" s="403" customFormat="1" ht="17.100000000000001" customHeight="1" x14ac:dyDescent="0.25">
      <c r="B57" s="135"/>
      <c r="C57" s="135"/>
      <c r="D57" s="135"/>
      <c r="E57" s="135"/>
      <c r="F57" s="135"/>
      <c r="G57" s="135"/>
      <c r="H57" s="135"/>
      <c r="I57" s="414"/>
      <c r="J57" s="414"/>
      <c r="K57" s="415"/>
      <c r="L57" s="405"/>
      <c r="M57" s="405"/>
      <c r="N57" s="320"/>
      <c r="O57" s="405"/>
      <c r="P57" s="320"/>
      <c r="Q57" s="320"/>
      <c r="R57" s="405"/>
      <c r="S57" s="401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6"/>
      <c r="AF57" s="406"/>
      <c r="AG57" s="406"/>
      <c r="AH57" s="406"/>
      <c r="AI57" s="406"/>
      <c r="AJ57" s="406"/>
      <c r="AK57" s="406"/>
      <c r="AL57" s="406"/>
      <c r="AM57" s="406"/>
      <c r="AN57" s="406"/>
      <c r="AO57" s="406"/>
      <c r="AP57" s="406"/>
    </row>
    <row r="58" spans="1:42" s="420" customFormat="1" ht="30" customHeight="1" x14ac:dyDescent="0.25">
      <c r="A58" s="512" t="s">
        <v>243</v>
      </c>
      <c r="B58" s="507"/>
      <c r="C58" s="507"/>
      <c r="D58" s="505"/>
      <c r="E58" s="12"/>
      <c r="F58" s="12"/>
      <c r="G58" s="416"/>
      <c r="H58" s="416"/>
      <c r="I58" s="416"/>
      <c r="J58" s="416"/>
      <c r="K58" s="416"/>
      <c r="L58" s="320"/>
      <c r="M58" s="320"/>
      <c r="N58" s="320"/>
      <c r="O58" s="417"/>
      <c r="P58" s="417"/>
      <c r="Q58" s="417"/>
      <c r="R58" s="417"/>
      <c r="S58" s="418"/>
      <c r="T58" s="418"/>
      <c r="U58" s="418"/>
      <c r="V58" s="419" t="s">
        <v>204</v>
      </c>
      <c r="W58" s="419" t="s">
        <v>228</v>
      </c>
      <c r="X58" s="418"/>
      <c r="Y58" s="418"/>
      <c r="Z58" s="418"/>
      <c r="AA58" s="418"/>
      <c r="AB58" s="418"/>
      <c r="AC58" s="418"/>
      <c r="AD58" s="418"/>
      <c r="AE58" s="418"/>
      <c r="AF58" s="418"/>
      <c r="AG58" s="418"/>
      <c r="AH58" s="418"/>
      <c r="AI58" s="418"/>
      <c r="AJ58" s="418"/>
      <c r="AK58" s="418"/>
      <c r="AL58" s="418"/>
      <c r="AM58" s="418"/>
      <c r="AN58" s="418"/>
      <c r="AO58" s="418"/>
    </row>
    <row r="59" spans="1:42" ht="20.100000000000001" customHeight="1" x14ac:dyDescent="0.25">
      <c r="A59" s="421" t="s">
        <v>21</v>
      </c>
      <c r="B59" s="422">
        <f>IF(AND($E26&lt;&gt;"",$D26=""),$E26,IF(AND($E26="",$D26&lt;&gt;""),$D26,IF(AND($E26="",$F26&lt;&gt;""),$F26,0)))</f>
        <v>0</v>
      </c>
      <c r="C59" s="177" t="s">
        <v>39</v>
      </c>
      <c r="D59" s="423">
        <f>$I$26</f>
        <v>0</v>
      </c>
      <c r="E59" s="177" t="s">
        <v>40</v>
      </c>
      <c r="F59" s="423">
        <f>IF(AND(A$73&gt;=11,A$73&lt;=18),84,72)</f>
        <v>72</v>
      </c>
      <c r="G59" s="177" t="s">
        <v>41</v>
      </c>
      <c r="H59" s="422" t="str">
        <f>IF(AND(D26&lt;=0,OR(X26=1,V59=FALSE)),"N/A",
IF($I26&lt;F59,B59,
(B59/D59)*F59))</f>
        <v>N/A</v>
      </c>
      <c r="I59" s="536" t="s">
        <v>42</v>
      </c>
      <c r="J59" s="536"/>
      <c r="K59" s="424">
        <f>DATE(YEAR(G26),MONTH(G26)+F59,DAY(G26))</f>
        <v>2192</v>
      </c>
      <c r="L59" s="320"/>
      <c r="M59" s="320"/>
      <c r="N59" s="320"/>
      <c r="O59" s="318"/>
      <c r="P59" s="318"/>
      <c r="Q59" s="318"/>
      <c r="R59" s="318"/>
      <c r="V59" s="422" t="b">
        <f>AND(E26&gt;0,J26="Canadian",K26="No")</f>
        <v>0</v>
      </c>
      <c r="W59" s="425" t="str">
        <f>IF(X26&gt;0,"N/A",
IF(AND($E26&gt;0,K26="Yes"),"N/A (Dist. related to applicant)",
IF(AND($E26&gt;0,$X26=0,$J26="Canadian",$K26=""),"Missing Information",
IF(AND($E26&gt;0,$X26=0,$J26="",$K26&lt;&gt;"Yes"),"Missing Information",
IF(AND($E26&gt;0,$X26=0,$J26="Canadian",$K26="No"),"Total EDA (Can. Right)",
IF(D26&gt;0,"Total Licence",
IF(OR($J26="International",F26&gt;0),"N/A (Intl. Right)","")))))))</f>
        <v/>
      </c>
    </row>
    <row r="60" spans="1:42" ht="22.5" customHeight="1" x14ac:dyDescent="0.25">
      <c r="A60" s="163"/>
      <c r="B60" s="164" t="str">
        <f>W59</f>
        <v/>
      </c>
      <c r="C60" s="166"/>
      <c r="D60" s="176" t="s">
        <v>43</v>
      </c>
      <c r="E60" s="166"/>
      <c r="F60" s="165" t="s">
        <v>44</v>
      </c>
      <c r="G60" s="166"/>
      <c r="H60" s="164" t="s">
        <v>45</v>
      </c>
      <c r="I60" s="167"/>
      <c r="J60" s="167"/>
      <c r="K60" s="168"/>
      <c r="L60" s="320"/>
      <c r="M60" s="320"/>
      <c r="N60" s="320"/>
      <c r="O60" s="426"/>
      <c r="P60" s="318"/>
      <c r="Q60" s="318"/>
      <c r="R60" s="318"/>
      <c r="V60" s="164"/>
      <c r="W60" s="427"/>
    </row>
    <row r="61" spans="1:42" ht="20.100000000000001" customHeight="1" x14ac:dyDescent="0.25">
      <c r="A61" s="421" t="s">
        <v>22</v>
      </c>
      <c r="B61" s="422">
        <f>IF(AND($E27&lt;&gt;"",$D27=""),$E27,IF(AND($E27="",$D27&lt;&gt;""),$D27,IF(AND($E27="",$F27&lt;&gt;""),$F27,0)))</f>
        <v>0</v>
      </c>
      <c r="C61" s="177" t="s">
        <v>39</v>
      </c>
      <c r="D61" s="423">
        <f>$I$27</f>
        <v>0</v>
      </c>
      <c r="E61" s="177" t="s">
        <v>40</v>
      </c>
      <c r="F61" s="428">
        <f>IF((YEAR(K$59)-YEAR(X41))*12+MONTH(K$59)-MONTH(X41)&lt;0,0,(YEAR(K$59)-YEAR(X41))*12+MONTH(K$59)-MONTH(X41))</f>
        <v>71</v>
      </c>
      <c r="G61" s="177" t="s">
        <v>41</v>
      </c>
      <c r="H61" s="422" t="str">
        <f>IF(AND(D27&lt;=0,OR(X27=1,V61=FALSE)),"N/A",
IF($I27&lt;F61,B61,
(B61/D61)*F61))</f>
        <v>N/A</v>
      </c>
      <c r="I61" s="178"/>
      <c r="J61" s="178"/>
      <c r="K61" s="179"/>
      <c r="L61" s="320"/>
      <c r="M61" s="320"/>
      <c r="N61" s="320"/>
      <c r="O61" s="318"/>
      <c r="P61" s="318"/>
      <c r="Q61" s="318"/>
      <c r="R61" s="318"/>
      <c r="V61" s="422" t="b">
        <f>AND(E27&gt;0,J27="Canadian",K27="No")</f>
        <v>0</v>
      </c>
      <c r="W61" s="425" t="str">
        <f>IF(X27&gt;0,"N/A",
IF(AND($E27&gt;0,K27="Yes"),"N/A (Dist. related to applicant)",
IF(AND($E27&gt;0,$X27=0,$J27="Canadian",$K27=""),"Missing Information",
IF(AND($E27&gt;0,$X27=0,$J27="",$K27&lt;&gt;"Yes"),"Missing Information",
IF(AND($E27&gt;0,$X27=0,$J27="Canadian",$K27="No"),"Total EDA (Can. Right)",
IF(D27&gt;0,"Total Licence",
IF(OR($J27="International",F27&gt;0),"N/A (Intl. Right)","")))))))</f>
        <v/>
      </c>
    </row>
    <row r="62" spans="1:42" ht="22.5" customHeight="1" x14ac:dyDescent="0.25">
      <c r="A62" s="172"/>
      <c r="B62" s="164" t="str">
        <f>W61</f>
        <v/>
      </c>
      <c r="C62" s="429"/>
      <c r="D62" s="176" t="s">
        <v>43</v>
      </c>
      <c r="E62" s="429"/>
      <c r="F62" s="165" t="s">
        <v>44</v>
      </c>
      <c r="G62" s="166"/>
      <c r="H62" s="164" t="s">
        <v>45</v>
      </c>
      <c r="I62" s="167"/>
      <c r="J62" s="167"/>
      <c r="K62" s="168"/>
      <c r="L62" s="320"/>
      <c r="M62" s="320"/>
      <c r="N62" s="320"/>
      <c r="O62" s="318"/>
      <c r="P62" s="318"/>
      <c r="Q62" s="318"/>
      <c r="R62" s="318"/>
      <c r="V62" s="164"/>
      <c r="W62" s="427"/>
    </row>
    <row r="63" spans="1:42" ht="20.100000000000001" customHeight="1" x14ac:dyDescent="0.25">
      <c r="A63" s="421" t="s">
        <v>23</v>
      </c>
      <c r="B63" s="422">
        <f>IF(AND($E28&lt;&gt;"",$D28=""),$E28,IF(AND($E28="",$D28&lt;&gt;""),$D28,IF(AND($E28="",$F28&lt;&gt;""),$F28,0)))</f>
        <v>0</v>
      </c>
      <c r="C63" s="177" t="s">
        <v>39</v>
      </c>
      <c r="D63" s="423">
        <f>$I$28</f>
        <v>0</v>
      </c>
      <c r="E63" s="177" t="s">
        <v>40</v>
      </c>
      <c r="F63" s="428">
        <f>IF((YEAR(K$59)-YEAR(X42))*12+MONTH(K$59)-MONTH(X42)&lt;0,0,(YEAR(K$59)-YEAR(X42))*12+MONTH(K$59)-MONTH(X42))</f>
        <v>71</v>
      </c>
      <c r="G63" s="177" t="s">
        <v>41</v>
      </c>
      <c r="H63" s="422" t="str">
        <f>IF(AND(D28&lt;=0,OR(X28=1,V63=FALSE)),"N/A",
IF($I28&lt;F63,B63,
(B63/D63)*F63))</f>
        <v>N/A</v>
      </c>
      <c r="I63" s="178"/>
      <c r="J63" s="178"/>
      <c r="K63" s="179"/>
      <c r="L63" s="320"/>
      <c r="M63" s="320"/>
      <c r="N63" s="320"/>
      <c r="O63" s="318"/>
      <c r="P63" s="318"/>
      <c r="Q63" s="318"/>
      <c r="R63" s="318"/>
      <c r="V63" s="422" t="b">
        <f>AND(E28&gt;0,J28="Canadian",K28="No")</f>
        <v>0</v>
      </c>
      <c r="W63" s="425" t="str">
        <f>IF(X28&gt;0,"N/A",
IF(AND($E28&gt;0,K28="Yes"),"N/A (Dist. related to applicant)",
IF(AND($E28&gt;0,$X28=0,$J28="Canadian",$K28=""),"Missing Information",
IF(AND($E28&gt;0,$X28=0,$J28="",$K28&lt;&gt;"Yes"),"Missing Information",
IF(AND($E28&gt;0,$X28=0,$J28="Canadian",$K28="No"),"Total EDA (Can. Right)",
IF(D28&gt;0,"Total Licence",
IF(OR($J28="International",F28&gt;0),"N/A (Intl. Right)","")))))))</f>
        <v/>
      </c>
    </row>
    <row r="64" spans="1:42" ht="22.5" customHeight="1" x14ac:dyDescent="0.25">
      <c r="A64" s="173"/>
      <c r="B64" s="164" t="str">
        <f>W63</f>
        <v/>
      </c>
      <c r="C64" s="429"/>
      <c r="D64" s="176" t="s">
        <v>43</v>
      </c>
      <c r="E64" s="429"/>
      <c r="F64" s="165" t="s">
        <v>44</v>
      </c>
      <c r="G64" s="166"/>
      <c r="H64" s="164" t="s">
        <v>45</v>
      </c>
      <c r="I64" s="167"/>
      <c r="J64" s="167"/>
      <c r="K64" s="168"/>
      <c r="L64" s="320"/>
      <c r="M64" s="320"/>
      <c r="N64" s="320"/>
      <c r="O64" s="318"/>
      <c r="P64" s="318"/>
      <c r="Q64" s="318"/>
      <c r="R64" s="318"/>
      <c r="V64" s="164"/>
      <c r="W64" s="427"/>
    </row>
    <row r="65" spans="1:42" ht="20.100000000000001" customHeight="1" x14ac:dyDescent="0.25">
      <c r="A65" s="421" t="s">
        <v>24</v>
      </c>
      <c r="B65" s="422">
        <f>IF(AND($E29&lt;&gt;"",$D29=""),$E29,IF(AND($E29="",$D29&lt;&gt;""),$D29,IF(AND($E29="",$F29&lt;&gt;""),$F29,0)))</f>
        <v>0</v>
      </c>
      <c r="C65" s="177" t="s">
        <v>39</v>
      </c>
      <c r="D65" s="428">
        <f>$I$29</f>
        <v>0</v>
      </c>
      <c r="E65" s="177" t="s">
        <v>40</v>
      </c>
      <c r="F65" s="428">
        <f>IF((YEAR(K$59)-YEAR(X43))*12+MONTH(K$59)-MONTH(X43)&lt;0,0,(YEAR(K$59)-YEAR(X43))*12+MONTH(K$59)-MONTH(X43))</f>
        <v>71</v>
      </c>
      <c r="G65" s="177" t="s">
        <v>41</v>
      </c>
      <c r="H65" s="422" t="str">
        <f>IF(AND(D29&lt;=0,OR(X29=1,V65=FALSE)),"N/A",
IF($I29&lt;F65,B65,
(B65/D65)*F65))</f>
        <v>N/A</v>
      </c>
      <c r="I65" s="178"/>
      <c r="J65" s="178"/>
      <c r="K65" s="179"/>
      <c r="L65" s="320"/>
      <c r="M65" s="320"/>
      <c r="N65" s="320"/>
      <c r="O65" s="318"/>
      <c r="P65" s="318"/>
      <c r="Q65" s="318"/>
      <c r="R65" s="318"/>
      <c r="V65" s="422" t="b">
        <f>AND(E29&gt;0,J29="Canadian",K29="No")</f>
        <v>0</v>
      </c>
      <c r="W65" s="425" t="str">
        <f>IF(X29&gt;0,"N/A",
IF(AND($E29&gt;0,K29="Yes"),"N/A (Dist. related to applicant)",
IF(AND($E29&gt;0,$X29=0,$J29="Canadian",$K29=""),"Missing Information",
IF(AND($E29&gt;0,$X29=0,$J29="",$K29&lt;&gt;"Yes"),"Missing Information",
IF(AND($E29&gt;0,$X29=0,$J29="Canadian",$K29="No"),"Total EDA (Can. Right)",
IF(D29&gt;0,"Total Licence",
IF(OR($J29="International",F29&gt;0),"N/A (Intl. Right)","")))))))</f>
        <v/>
      </c>
    </row>
    <row r="66" spans="1:42" ht="22.5" customHeight="1" x14ac:dyDescent="0.25">
      <c r="A66" s="163"/>
      <c r="B66" s="164" t="str">
        <f>$W65</f>
        <v/>
      </c>
      <c r="C66" s="429"/>
      <c r="D66" s="176" t="s">
        <v>43</v>
      </c>
      <c r="E66" s="429"/>
      <c r="F66" s="165" t="s">
        <v>44</v>
      </c>
      <c r="G66" s="166"/>
      <c r="H66" s="164" t="s">
        <v>45</v>
      </c>
      <c r="I66" s="167"/>
      <c r="J66" s="167"/>
      <c r="K66" s="168"/>
      <c r="L66" s="318"/>
      <c r="M66" s="318"/>
      <c r="N66" s="320"/>
      <c r="O66" s="318"/>
      <c r="P66" s="318"/>
      <c r="Q66" s="318"/>
      <c r="R66" s="318"/>
      <c r="V66" s="164"/>
      <c r="W66" s="309"/>
    </row>
    <row r="67" spans="1:42" ht="20.100000000000001" customHeight="1" x14ac:dyDescent="0.25">
      <c r="A67" s="421" t="s">
        <v>25</v>
      </c>
      <c r="B67" s="422">
        <f>IF(AND($E30&lt;&gt;"",$D30=""),$E30,IF(AND($E30="",$D30&lt;&gt;""),$D30,IF(AND($E30="",$F30&lt;&gt;""),$F30,0)))</f>
        <v>0</v>
      </c>
      <c r="C67" s="177" t="s">
        <v>39</v>
      </c>
      <c r="D67" s="428">
        <f>$I$30</f>
        <v>0</v>
      </c>
      <c r="E67" s="177" t="s">
        <v>40</v>
      </c>
      <c r="F67" s="428">
        <f>IF((YEAR(K$59)-YEAR(X44))*12+MONTH(K$59)-MONTH(X44)&lt;0,0,(YEAR(K$59)-YEAR(X44))*12+MONTH(K$59)-MONTH(X44))</f>
        <v>71</v>
      </c>
      <c r="G67" s="177" t="s">
        <v>41</v>
      </c>
      <c r="H67" s="422" t="str">
        <f>IF(AND(D30&lt;=0,OR(X30=1,V67=FALSE)),"N/A",
IF($I30&lt;F67,B67,
(B67/D67)*F67))</f>
        <v>N/A</v>
      </c>
      <c r="I67" s="178"/>
      <c r="J67" s="178"/>
      <c r="K67" s="179"/>
      <c r="L67" s="318"/>
      <c r="M67" s="318"/>
      <c r="N67" s="320"/>
      <c r="O67" s="318"/>
      <c r="P67" s="318"/>
      <c r="Q67" s="318"/>
      <c r="R67" s="318"/>
      <c r="V67" s="422" t="b">
        <f>AND(E30&gt;0,J30="Canadian",K30="No")</f>
        <v>0</v>
      </c>
      <c r="W67" s="425" t="str">
        <f>IF(X30&gt;0,"N/A",
IF(AND($E30&gt;0,K30="Yes"),"N/A (Dist. related to applicant)",
IF(AND($E30&gt;0,$X30=0,$J30="Canadian",$K30=""),"Missing Information",
IF(AND($E30&gt;0,$X30=0,$J30="",$K30&lt;&gt;"Yes"),"Missing Information",
IF(AND($E30&gt;0,$X30=0,$J30="Canadian",$K30="No"),"Total EDA (Can. Right)",
IF(D30&gt;0,"Total Licence",
IF(OR($J30="International",F30&gt;0),"N/A (Intl. Right)","")))))))</f>
        <v/>
      </c>
    </row>
    <row r="68" spans="1:42" ht="22.5" customHeight="1" x14ac:dyDescent="0.25">
      <c r="A68" s="172"/>
      <c r="B68" s="164" t="str">
        <f>$W67</f>
        <v/>
      </c>
      <c r="C68" s="429"/>
      <c r="D68" s="176" t="s">
        <v>43</v>
      </c>
      <c r="E68" s="429"/>
      <c r="F68" s="165" t="s">
        <v>44</v>
      </c>
      <c r="G68" s="166"/>
      <c r="H68" s="164" t="s">
        <v>45</v>
      </c>
      <c r="I68" s="167"/>
      <c r="J68" s="167"/>
      <c r="K68" s="168"/>
      <c r="L68" s="318"/>
      <c r="M68" s="318"/>
      <c r="N68" s="320"/>
      <c r="O68" s="318"/>
      <c r="P68" s="318"/>
      <c r="Q68" s="318"/>
      <c r="R68" s="318"/>
      <c r="V68" s="164"/>
      <c r="W68" s="309"/>
    </row>
    <row r="69" spans="1:42" ht="20.100000000000001" customHeight="1" x14ac:dyDescent="0.25">
      <c r="A69" s="421" t="s">
        <v>26</v>
      </c>
      <c r="B69" s="422">
        <f>IF(AND($E31&lt;&gt;"",$D31=""),$E31,IF(AND($E31="",$D31&lt;&gt;""),$D31,IF(AND($E31="",$F31&lt;&gt;""),$F31,0)))</f>
        <v>0</v>
      </c>
      <c r="C69" s="177" t="s">
        <v>39</v>
      </c>
      <c r="D69" s="428">
        <f>$I$31</f>
        <v>0</v>
      </c>
      <c r="E69" s="177" t="s">
        <v>40</v>
      </c>
      <c r="F69" s="428">
        <f>IF((YEAR(K$59)-YEAR(X45))*12+MONTH(K$59)-MONTH(X45)&lt;0,0,(YEAR(K$59)-YEAR(X45))*12+MONTH(K$59)-MONTH(X45))</f>
        <v>71</v>
      </c>
      <c r="G69" s="177" t="s">
        <v>41</v>
      </c>
      <c r="H69" s="422" t="str">
        <f>IF(AND(D31&lt;=0,OR(X31=1,V69=FALSE)),"N/A",
IF($I31&lt;F69,B69,
(B69/D69)*F69))</f>
        <v>N/A</v>
      </c>
      <c r="I69" s="178"/>
      <c r="J69" s="178"/>
      <c r="K69" s="179"/>
      <c r="L69" s="318"/>
      <c r="M69" s="318"/>
      <c r="N69" s="320"/>
      <c r="O69" s="318"/>
      <c r="P69" s="318"/>
      <c r="Q69" s="318"/>
      <c r="R69" s="318"/>
      <c r="V69" s="422" t="b">
        <f>AND(E31&gt;0,J31="Canadian",K31="No")</f>
        <v>0</v>
      </c>
      <c r="W69" s="425" t="str">
        <f>IF(X31&gt;0,"N/A",
IF(AND($E31&gt;0,K31="Yes"),"N/A (Dist. related to applicant)",
IF(AND($E31&gt;0,$X31=0,$J31="Canadian",$K31=""),"Missing Information",
IF(AND($E31&gt;0,$X31=0,$J31="",$K31&lt;&gt;"Yes"),"Missing Information",
IF(AND($E31&gt;0,$X31=0,$J31="Canadian",$K31="No"),"Total EDA (Can. Right)",
IF(D31&gt;0,"Total Licence",
IF(OR($J31="International",F31&gt;0),"N/A (Intl. Right)","")))))))</f>
        <v/>
      </c>
    </row>
    <row r="70" spans="1:42" ht="22.5" customHeight="1" x14ac:dyDescent="0.25">
      <c r="A70" s="174"/>
      <c r="B70" s="175" t="str">
        <f>$W69</f>
        <v/>
      </c>
      <c r="C70" s="178"/>
      <c r="D70" s="176" t="s">
        <v>43</v>
      </c>
      <c r="E70" s="178"/>
      <c r="F70" s="176" t="s">
        <v>44</v>
      </c>
      <c r="G70" s="176"/>
      <c r="H70" s="175" t="s">
        <v>45</v>
      </c>
      <c r="I70" s="178"/>
      <c r="J70" s="178"/>
      <c r="K70" s="179"/>
      <c r="L70" s="318"/>
      <c r="M70" s="318" t="str">
        <f>IF(OR(F37&gt;0,X37=1,C66="No"),"N/A",
IF($I37&lt;F70,B70,
(B70/D70)*F70))</f>
        <v/>
      </c>
      <c r="N70" s="320"/>
      <c r="O70" s="318"/>
      <c r="P70" s="318"/>
      <c r="Q70" s="318"/>
      <c r="R70" s="318"/>
    </row>
    <row r="71" spans="1:42" ht="17.100000000000001" customHeight="1" collapsed="1" x14ac:dyDescent="0.25">
      <c r="A71" s="318"/>
      <c r="B71" s="318"/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20"/>
      <c r="O71" s="318"/>
      <c r="P71" s="318"/>
      <c r="Q71" s="318"/>
      <c r="R71" s="318"/>
    </row>
    <row r="72" spans="1:42" s="321" customFormat="1" ht="30" customHeight="1" x14ac:dyDescent="0.25">
      <c r="A72" s="430" t="s">
        <v>208</v>
      </c>
      <c r="B72" s="431"/>
      <c r="C72" s="431"/>
      <c r="D72" s="320"/>
      <c r="E72" s="320"/>
      <c r="F72" s="320"/>
      <c r="G72" s="432" t="s">
        <v>193</v>
      </c>
      <c r="H72" s="320"/>
      <c r="I72" s="320"/>
      <c r="J72" s="320"/>
      <c r="K72" s="320"/>
      <c r="L72" s="433"/>
      <c r="M72" s="433"/>
      <c r="N72" s="320"/>
      <c r="O72" s="318"/>
      <c r="P72" s="318"/>
      <c r="Q72" s="318"/>
      <c r="R72" s="318"/>
    </row>
    <row r="73" spans="1:42" s="441" customFormat="1" ht="52.5" customHeight="1" x14ac:dyDescent="0.25">
      <c r="A73" s="434">
        <v>22</v>
      </c>
      <c r="B73" s="435" t="s">
        <v>46</v>
      </c>
      <c r="C73" s="436" t="s">
        <v>47</v>
      </c>
      <c r="D73" s="436" t="s">
        <v>48</v>
      </c>
      <c r="E73" s="436" t="s">
        <v>49</v>
      </c>
      <c r="F73" s="436" t="s">
        <v>50</v>
      </c>
      <c r="G73" s="437" t="s">
        <v>51</v>
      </c>
      <c r="H73" s="438"/>
      <c r="I73" s="439">
        <v>1</v>
      </c>
      <c r="J73" s="440"/>
      <c r="K73" s="440"/>
      <c r="L73" s="352"/>
      <c r="M73" s="352"/>
      <c r="N73" s="320"/>
      <c r="O73" s="352"/>
      <c r="P73" s="352"/>
      <c r="Q73" s="352"/>
      <c r="R73" s="352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39"/>
      <c r="AK73" s="339"/>
      <c r="AL73" s="339"/>
      <c r="AM73" s="339"/>
      <c r="AN73" s="339"/>
      <c r="AO73" s="339"/>
      <c r="AP73" s="339"/>
    </row>
    <row r="74" spans="1:42" s="336" customFormat="1" ht="19.5" customHeight="1" x14ac:dyDescent="0.25">
      <c r="A74" s="442">
        <v>100000</v>
      </c>
      <c r="B74" s="537" t="s">
        <v>52</v>
      </c>
      <c r="C74" s="537"/>
      <c r="D74" s="443"/>
      <c r="E74" s="443"/>
      <c r="F74" s="443"/>
      <c r="G74" s="444"/>
      <c r="H74" s="445"/>
      <c r="I74" s="446"/>
      <c r="J74" s="447"/>
      <c r="K74" s="442"/>
      <c r="L74" s="318"/>
      <c r="M74" s="346"/>
      <c r="N74" s="320"/>
      <c r="O74" s="318"/>
      <c r="P74" s="318"/>
      <c r="Q74" s="318"/>
      <c r="R74" s="318"/>
      <c r="S74" s="321"/>
      <c r="T74" s="321"/>
      <c r="U74" s="321"/>
      <c r="V74" s="321"/>
      <c r="W74" s="321"/>
      <c r="X74" s="321"/>
      <c r="Y74" s="321"/>
      <c r="Z74" s="321"/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</row>
    <row r="75" spans="1:42" ht="45" customHeight="1" x14ac:dyDescent="0.25">
      <c r="A75" s="448"/>
      <c r="B75" s="413" t="s">
        <v>53</v>
      </c>
      <c r="C75" s="413" t="s">
        <v>54</v>
      </c>
      <c r="D75" s="242" t="str">
        <f>IF(A$73=2,IF(E$4*J75&lt;ROUND(K$4*K75,0),ROUND(E$4*J75,0),ROUND(K$4*K75,0)),"N/A")</f>
        <v>N/A</v>
      </c>
      <c r="E75" s="243" t="str">
        <f>IF(D75="N/A","N/A",
IF(ROUND($G$46+$H$46,0)&gt;=ROUND(D75,0),"Yes",
IF(AND(ROUND($G$46+$H$46,0)&gt;=ROUND(75%*D75,0),$G$46+$H$46+MIN(F$32,ROUND(D75-$G$46+$H$46,0))&gt;=ROUND(D75,0)),"Yes","No")))</f>
        <v>N/A</v>
      </c>
      <c r="F75" s="242" t="str">
        <f>IF(E75="N/A","N/A",ROUND(J$46,0)-ROUND(D75,0))</f>
        <v>N/A</v>
      </c>
      <c r="G75" s="244" t="str">
        <f>IF(E75="N/A","N/A",IF(AND($A$73=2,F$32&gt;0,H$46+G$46&gt;=75%*D75),MAX(ROUND(D75-H$46-G$46,0),0),0))</f>
        <v>N/A</v>
      </c>
      <c r="H75" s="445"/>
      <c r="I75" s="449" t="s">
        <v>9</v>
      </c>
      <c r="J75" s="450">
        <v>0.2</v>
      </c>
      <c r="K75" s="442">
        <v>130000</v>
      </c>
      <c r="L75" s="318"/>
      <c r="M75" s="346"/>
      <c r="N75" s="320"/>
      <c r="O75" s="318"/>
      <c r="P75" s="318"/>
      <c r="Q75" s="318"/>
      <c r="R75" s="318"/>
    </row>
    <row r="76" spans="1:42" ht="45" customHeight="1" x14ac:dyDescent="0.25">
      <c r="A76" s="451"/>
      <c r="B76" s="413" t="s">
        <v>55</v>
      </c>
      <c r="C76" s="413" t="s">
        <v>56</v>
      </c>
      <c r="D76" s="242" t="str">
        <f>IF(A$73=3,ROUND(K4*K76,0),"N/A")</f>
        <v>N/A</v>
      </c>
      <c r="E76" s="243" t="str">
        <f>IF(D76="N/A","N/A",
IF(ROUND($G$46+$H$46,0)&gt;=ROUND(D76,0),"Yes",
IF(AND(ROUND($G$46+$H$46,0)&gt;=ROUND(75%*D76,0),$G$46+$H$46+MIN(F$32,ROUND(D76-$G$46+$H$46,0))&gt;=ROUND(D76,0)),"Yes","No")))</f>
        <v>N/A</v>
      </c>
      <c r="F76" s="242" t="str">
        <f>IF(E76="N/A","N/A",ROUND(J$46,0)-ROUND(D76,0))</f>
        <v>N/A</v>
      </c>
      <c r="G76" s="244" t="str">
        <f>IF(E76="N/A","N/A",IF(AND($A$73=3,F$32&gt;0,H$46+G$46&gt;=75%*D76),MAX(ROUND(D76-H$46-G$46,0),0),0))</f>
        <v>N/A</v>
      </c>
      <c r="H76" s="445"/>
      <c r="I76" s="449" t="s">
        <v>57</v>
      </c>
      <c r="J76" s="447"/>
      <c r="K76" s="442">
        <v>130000</v>
      </c>
      <c r="L76" s="318"/>
      <c r="M76" s="346"/>
      <c r="N76" s="320"/>
      <c r="O76" s="318"/>
      <c r="P76" s="318"/>
      <c r="Q76" s="318"/>
      <c r="R76" s="318"/>
    </row>
    <row r="77" spans="1:42" ht="39.9" customHeight="1" x14ac:dyDescent="0.25">
      <c r="A77" s="451"/>
      <c r="B77" s="413" t="s">
        <v>58</v>
      </c>
      <c r="C77" s="452" t="s">
        <v>59</v>
      </c>
      <c r="D77" s="242" t="str">
        <f>IF(A$73=4,ROUND(E4*J77,0),"N/A")</f>
        <v>N/A</v>
      </c>
      <c r="E77" s="243" t="str">
        <f>IF(D77="N/A","N/A",
IF(ROUND($G$46+$H$46,0)&gt;=ROUND(D77,0),"Yes",
IF(AND(ROUND($G$46+$H$46,0)&gt;=ROUND(75%*D77,0),$G$46+$H$46+MIN(F$32,ROUND(D77-$G$46+$H$46,0))&gt;=ROUND(D77,0)),"Yes","No")))</f>
        <v>N/A</v>
      </c>
      <c r="F77" s="242" t="str">
        <f>IF(E77="N/A","N/A",ROUND(J$46,0)-ROUND(D77,0))</f>
        <v>N/A</v>
      </c>
      <c r="G77" s="244" t="str">
        <f>IF(E77="N/A","N/A",IF(AND($A$73=4,F$32&gt;0,H$46+G$46&gt;=75%*D77),MAX(ROUND(D77-H$46-G$46,0),0),0))</f>
        <v>N/A</v>
      </c>
      <c r="H77" s="445"/>
      <c r="I77" s="449"/>
      <c r="J77" s="450">
        <v>0.1</v>
      </c>
      <c r="K77" s="442"/>
      <c r="L77" s="318"/>
      <c r="M77" s="346"/>
      <c r="N77" s="320"/>
      <c r="O77" s="318"/>
      <c r="P77" s="318"/>
      <c r="Q77" s="318"/>
      <c r="R77" s="318"/>
    </row>
    <row r="78" spans="1:42" ht="39.9" customHeight="1" x14ac:dyDescent="0.25">
      <c r="A78" s="448"/>
      <c r="B78" s="413" t="s">
        <v>60</v>
      </c>
      <c r="C78" s="413" t="s">
        <v>61</v>
      </c>
      <c r="D78" s="242" t="str">
        <f>IF(A$73=5,IF(E$4*J78&gt;=K78,K78,ROUND((E$4*J78),0)),"N/A")</f>
        <v>N/A</v>
      </c>
      <c r="E78" s="243" t="str">
        <f>IF(D78="N/A","N/A",
IF(ROUND($G$46+$H$46,0)&gt;=ROUND(D78,0),"Yes",
IF(AND(ROUND($G$46+$H$46,0)&gt;=ROUND(75%*D78,0),$G$46+$H$46+MIN(F$32,ROUND(D78-$G$46+$H$46,0))&gt;=ROUND(D78,0)),"Yes","No")))</f>
        <v>N/A</v>
      </c>
      <c r="F78" s="242" t="str">
        <f>IF(E78="N/A","N/A",ROUND(J$46,0)-ROUND(D78,0))</f>
        <v>N/A</v>
      </c>
      <c r="G78" s="244" t="str">
        <f>IF(E78="N/A","N/A",IF(AND($A$73=5,F$32&gt;0,H$46+G$46&gt;=75%*D78),MAX(ROUND(D78-H$46-G$46,0),0),0))</f>
        <v>N/A</v>
      </c>
      <c r="H78" s="445"/>
      <c r="I78" s="446"/>
      <c r="J78" s="450">
        <v>0.05</v>
      </c>
      <c r="K78" s="442">
        <v>190000</v>
      </c>
      <c r="L78" s="318"/>
      <c r="M78" s="318"/>
      <c r="N78" s="320"/>
      <c r="O78" s="318"/>
      <c r="P78" s="318"/>
      <c r="Q78" s="318"/>
      <c r="R78" s="318"/>
    </row>
    <row r="79" spans="1:42" ht="19.5" customHeight="1" x14ac:dyDescent="0.25">
      <c r="A79" s="446"/>
      <c r="B79" s="453" t="s">
        <v>62</v>
      </c>
      <c r="C79" s="454"/>
      <c r="D79" s="455"/>
      <c r="E79" s="455"/>
      <c r="F79" s="456"/>
      <c r="G79" s="457"/>
      <c r="H79" s="458"/>
      <c r="I79" s="446"/>
      <c r="J79" s="447"/>
      <c r="K79" s="442"/>
      <c r="L79" s="318"/>
      <c r="M79" s="318"/>
      <c r="N79" s="320"/>
      <c r="O79" s="318"/>
      <c r="P79" s="318"/>
      <c r="Q79" s="318"/>
      <c r="R79" s="318"/>
    </row>
    <row r="80" spans="1:42" ht="45" customHeight="1" x14ac:dyDescent="0.25">
      <c r="A80" s="448"/>
      <c r="B80" s="413" t="s">
        <v>63</v>
      </c>
      <c r="C80" s="413" t="s">
        <v>64</v>
      </c>
      <c r="D80" s="242" t="str">
        <f>IF(A$73=7,IF($E$4*J80&lt;$K$4*K80,ROUND($E$4*J80,0),ROUND($K$4*K80,0)),"N/A")</f>
        <v>N/A</v>
      </c>
      <c r="E80" s="243" t="str">
        <f>IF(D80="N/A","N/A",
IF(ROUND($G$46+$H$46,0)&gt;=ROUND(D80,0),"Yes",
IF(AND(ROUND($G$46+$H$46,0)&gt;=ROUND(75%*D80,0),$G$46+$H$46+MIN(F$32,ROUND(D80-$G$46+$H$46,0))&gt;=ROUND(D80,0)),"Yes","No")))</f>
        <v>N/A</v>
      </c>
      <c r="F80" s="242" t="str">
        <f>IF(E80="N/A","N/A",ROUND(J$46,0)-ROUND(D80,0))</f>
        <v>N/A</v>
      </c>
      <c r="G80" s="244" t="str">
        <f>IF(E80="N/A","N/A",IF(AND($A$73=7,F$32&gt;0,H$46+G$46&gt;=75%*D80),MAX(ROUND(D80-H$46-G$46,0),0),0))</f>
        <v>N/A</v>
      </c>
      <c r="H80" s="458"/>
      <c r="I80" s="449"/>
      <c r="J80" s="450">
        <v>0.3</v>
      </c>
      <c r="K80" s="442">
        <v>100000</v>
      </c>
      <c r="L80" s="318"/>
      <c r="M80" s="318"/>
      <c r="N80" s="320"/>
      <c r="O80" s="318"/>
      <c r="P80" s="318"/>
      <c r="Q80" s="318"/>
      <c r="R80" s="318"/>
    </row>
    <row r="81" spans="1:42" s="336" customFormat="1" ht="39.9" customHeight="1" x14ac:dyDescent="0.25">
      <c r="A81" s="448"/>
      <c r="B81" s="413" t="s">
        <v>65</v>
      </c>
      <c r="C81" s="413" t="s">
        <v>66</v>
      </c>
      <c r="D81" s="242" t="str">
        <f>IF(A$73=8,IF(($E$4*J81)&lt;ROUND(($K$4*K81),0),ROUND(($E$4*J81),0),ROUND(($K$4*K81),0)),"N/A")</f>
        <v>N/A</v>
      </c>
      <c r="E81" s="243" t="str">
        <f>IF(D81="N/A","N/A",
IF(ROUND($G$46+$H$46,0)&gt;=ROUND(D81,0),"Yes",
IF(AND(ROUND($G$46+$H$46,0)&gt;=ROUND(75%*D81,0),$G$46+$H$46+MIN(F$32,ROUND(D81-$G$46+$H$46,0))&gt;=ROUND(D81,0)),"Yes","No")))</f>
        <v>N/A</v>
      </c>
      <c r="F81" s="242" t="str">
        <f>IF(E81="N/A","N/A",ROUND(J$46,0)-ROUND(D81,0))</f>
        <v>N/A</v>
      </c>
      <c r="G81" s="244" t="str">
        <f>IF(E81="N/A","N/A",IF(AND($A$73=8,F$32&gt;0,H$46+G$46&gt;=75%*D81),MAX(ROUND(D81-H$46-G$46,0),0),0))</f>
        <v>N/A</v>
      </c>
      <c r="H81" s="459"/>
      <c r="I81" s="449"/>
      <c r="J81" s="450">
        <v>0.4</v>
      </c>
      <c r="K81" s="442">
        <v>100000</v>
      </c>
      <c r="L81" s="318"/>
      <c r="M81" s="318"/>
      <c r="N81" s="320"/>
      <c r="O81" s="318"/>
      <c r="P81" s="318"/>
      <c r="Q81" s="318"/>
      <c r="R81" s="318"/>
      <c r="S81" s="321"/>
      <c r="T81" s="321"/>
      <c r="U81" s="321"/>
      <c r="V81" s="321"/>
      <c r="W81" s="321"/>
      <c r="X81" s="321"/>
      <c r="Y81" s="321"/>
      <c r="Z81" s="321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</row>
    <row r="82" spans="1:42" s="336" customFormat="1" ht="45" customHeight="1" x14ac:dyDescent="0.25">
      <c r="A82" s="448"/>
      <c r="B82" s="413" t="s">
        <v>67</v>
      </c>
      <c r="C82" s="413" t="s">
        <v>68</v>
      </c>
      <c r="D82" s="242" t="str">
        <f>IF(A$73=9,ROUND(($K$4*K82),0),"N/A")</f>
        <v>N/A</v>
      </c>
      <c r="E82" s="243" t="str">
        <f>IF(D82="N/A","N/A",
IF(ROUND($G$46+$H$46,0)&gt;=ROUND(D82,0),"Yes",
IF(AND(ROUND($G$46+$H$46,0)&gt;=ROUND(75%*D82,0),$G$46+$H$46+MIN(F$32,ROUND(D82-$G$46+$H$46,0))&gt;=ROUND(D82,0)),"Yes","No")))</f>
        <v>N/A</v>
      </c>
      <c r="F82" s="242" t="str">
        <f>IF(E82="N/A","N/A",ROUND(J$46,0)-ROUND(D82,0))</f>
        <v>N/A</v>
      </c>
      <c r="G82" s="244" t="str">
        <f>IF(E82="N/A","N/A",IF(AND($A$73=9,F$32&gt;0,H$46+G$46&gt;=75%*D82),MAX(ROUND(D82-H$46-G$46,0),0),0))</f>
        <v>N/A</v>
      </c>
      <c r="H82" s="459"/>
      <c r="I82" s="449" t="s">
        <v>195</v>
      </c>
      <c r="J82" s="447"/>
      <c r="K82" s="442">
        <v>100000</v>
      </c>
      <c r="L82" s="318"/>
      <c r="M82" s="318"/>
      <c r="N82" s="320"/>
      <c r="O82" s="318"/>
      <c r="P82" s="318"/>
      <c r="Q82" s="318"/>
      <c r="R82" s="318"/>
      <c r="S82" s="321"/>
      <c r="T82" s="321"/>
      <c r="U82" s="321"/>
      <c r="V82" s="321"/>
      <c r="W82" s="321"/>
      <c r="X82" s="321"/>
      <c r="Y82" s="321"/>
      <c r="Z82" s="321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1"/>
      <c r="AM82" s="321"/>
      <c r="AN82" s="321"/>
      <c r="AO82" s="321"/>
      <c r="AP82" s="321"/>
    </row>
    <row r="83" spans="1:42" s="336" customFormat="1" ht="39.9" customHeight="1" x14ac:dyDescent="0.25">
      <c r="A83" s="448"/>
      <c r="B83" s="413" t="s">
        <v>69</v>
      </c>
      <c r="C83" s="413" t="s">
        <v>70</v>
      </c>
      <c r="D83" s="242" t="str">
        <f>IF(A$73=10,MIN(ROUND(($E$4*J83),0),K83),"N/A")</f>
        <v>N/A</v>
      </c>
      <c r="E83" s="243" t="str">
        <f>IF(D83="N/A","N/A",
IF(ROUND($G$46+$H$46,0)&gt;=ROUND(D83,0),"Yes",
IF(AND(ROUND($G$46+$H$46,0)&gt;=ROUND(75%*D83,0),$G$46+$H$46+MIN(F$32,ROUND(D83-$G$46+$H$46,0))&gt;=ROUND(D83,0)),"Yes","No")))</f>
        <v>N/A</v>
      </c>
      <c r="F83" s="242" t="str">
        <f>IF(E83="N/A","N/A",ROUND(J$46,0)-ROUND(D83,0))</f>
        <v>N/A</v>
      </c>
      <c r="G83" s="244" t="str">
        <f>IF(E83="N/A","N/A",IF(AND($A$73=10,F$32&gt;0,H$46+G$46&gt;=75%*D83),MAX(ROUND(D83-H$46-G$46,0),0),0))</f>
        <v>N/A</v>
      </c>
      <c r="H83" s="459"/>
      <c r="I83" s="449" t="s">
        <v>196</v>
      </c>
      <c r="J83" s="450">
        <v>0.1</v>
      </c>
      <c r="K83" s="442">
        <v>90000</v>
      </c>
      <c r="L83" s="318"/>
      <c r="M83" s="318"/>
      <c r="N83" s="320"/>
      <c r="O83" s="318"/>
      <c r="P83" s="318"/>
      <c r="Q83" s="318"/>
      <c r="R83" s="318"/>
      <c r="S83" s="321"/>
      <c r="T83" s="321"/>
      <c r="U83" s="321"/>
      <c r="V83" s="321"/>
      <c r="W83" s="321"/>
      <c r="X83" s="321"/>
      <c r="Y83" s="321"/>
      <c r="Z83" s="321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</row>
    <row r="84" spans="1:42" s="336" customFormat="1" ht="19.5" customHeight="1" x14ac:dyDescent="0.25">
      <c r="A84" s="448"/>
      <c r="B84" s="460" t="s">
        <v>71</v>
      </c>
      <c r="C84" s="461"/>
      <c r="D84" s="456"/>
      <c r="E84" s="456"/>
      <c r="F84" s="456"/>
      <c r="G84" s="462"/>
      <c r="H84" s="459"/>
      <c r="I84" s="449"/>
      <c r="J84" s="447"/>
      <c r="K84" s="442"/>
      <c r="L84" s="318"/>
      <c r="M84" s="318"/>
      <c r="N84" s="320"/>
      <c r="O84" s="318"/>
      <c r="P84" s="318"/>
      <c r="Q84" s="318"/>
      <c r="R84" s="318"/>
      <c r="S84" s="321"/>
      <c r="T84" s="321"/>
      <c r="U84" s="321"/>
      <c r="V84" s="321"/>
      <c r="W84" s="321"/>
      <c r="X84" s="321"/>
      <c r="Y84" s="321"/>
      <c r="Z84" s="321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</row>
    <row r="85" spans="1:42" s="336" customFormat="1" ht="39.9" customHeight="1" x14ac:dyDescent="0.25">
      <c r="A85" s="448"/>
      <c r="B85" s="413" t="s">
        <v>72</v>
      </c>
      <c r="C85" s="413" t="s">
        <v>73</v>
      </c>
      <c r="D85" s="242" t="str">
        <f>IF(A$73=12,IF(E$4*J85&lt;K$4*K85,ROUND(E$4*J85,0),ROUND(K$4*K85,0)),"N/A")</f>
        <v>N/A</v>
      </c>
      <c r="E85" s="243" t="str">
        <f>IF(D85="N/A","N/A",
IF(ROUND($G$46+$H$46,0)&gt;=ROUND(D85,0),"Yes","No"))</f>
        <v>N/A</v>
      </c>
      <c r="F85" s="242" t="str">
        <f t="shared" ref="F85:F91" si="11">IF(E85="N/A","N/A",ROUND(J$46,0)-ROUND(D85,0))</f>
        <v>N/A</v>
      </c>
      <c r="G85" s="462"/>
      <c r="H85" s="459"/>
      <c r="I85" s="449" t="s">
        <v>9</v>
      </c>
      <c r="J85" s="450">
        <v>0.45</v>
      </c>
      <c r="K85" s="442">
        <v>315000</v>
      </c>
      <c r="L85" s="318"/>
      <c r="M85" s="318"/>
      <c r="N85" s="320"/>
      <c r="O85" s="318"/>
      <c r="P85" s="318"/>
      <c r="Q85" s="318"/>
      <c r="R85" s="318"/>
      <c r="S85" s="321"/>
      <c r="T85" s="321"/>
      <c r="U85" s="321"/>
      <c r="V85" s="321"/>
      <c r="W85" s="321"/>
      <c r="X85" s="321"/>
      <c r="Y85" s="321"/>
      <c r="Z85" s="321"/>
      <c r="AA85" s="321"/>
      <c r="AB85" s="321"/>
      <c r="AC85" s="321"/>
      <c r="AD85" s="321"/>
      <c r="AE85" s="321"/>
      <c r="AF85" s="321"/>
      <c r="AG85" s="321"/>
      <c r="AH85" s="321"/>
      <c r="AI85" s="321"/>
      <c r="AJ85" s="321"/>
    </row>
    <row r="86" spans="1:42" s="336" customFormat="1" ht="50.1" customHeight="1" x14ac:dyDescent="0.25">
      <c r="A86" s="448"/>
      <c r="B86" s="413" t="s">
        <v>74</v>
      </c>
      <c r="C86" s="413" t="s">
        <v>75</v>
      </c>
      <c r="D86" s="242" t="str">
        <f>IF(A$73=13,ROUND(K$4*K86,0),"N/A")</f>
        <v>N/A</v>
      </c>
      <c r="E86" s="243" t="str">
        <f t="shared" ref="E86:E94" si="12">IF(D86="N/A","N/A",
IF(ROUND($G$46+$H$46,0)&gt;=ROUND(D86,0),"Yes","No"))</f>
        <v>N/A</v>
      </c>
      <c r="F86" s="242" t="str">
        <f t="shared" si="11"/>
        <v>N/A</v>
      </c>
      <c r="G86" s="462"/>
      <c r="H86" s="459"/>
      <c r="I86" s="449" t="s">
        <v>57</v>
      </c>
      <c r="J86" s="447"/>
      <c r="K86" s="442">
        <v>315000</v>
      </c>
      <c r="L86" s="318"/>
      <c r="M86" s="318"/>
      <c r="N86" s="320"/>
      <c r="O86" s="318"/>
      <c r="P86" s="318"/>
      <c r="Q86" s="318"/>
      <c r="R86" s="318"/>
      <c r="S86" s="321"/>
      <c r="T86" s="321"/>
      <c r="U86" s="321"/>
      <c r="V86" s="321"/>
      <c r="W86" s="321"/>
      <c r="X86" s="321"/>
      <c r="Y86" s="321"/>
      <c r="Z86" s="321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</row>
    <row r="87" spans="1:42" s="336" customFormat="1" ht="60" customHeight="1" x14ac:dyDescent="0.25">
      <c r="A87" s="448"/>
      <c r="B87" s="413" t="s">
        <v>76</v>
      </c>
      <c r="C87" s="413" t="s">
        <v>77</v>
      </c>
      <c r="D87" s="242" t="str">
        <f>IF(A$73=14,ROUND(K4*K87,0),"N/A")</f>
        <v>N/A</v>
      </c>
      <c r="E87" s="243" t="str">
        <f t="shared" si="12"/>
        <v>N/A</v>
      </c>
      <c r="F87" s="242" t="str">
        <f t="shared" si="11"/>
        <v>N/A</v>
      </c>
      <c r="G87" s="462"/>
      <c r="H87" s="459"/>
      <c r="I87" s="449"/>
      <c r="J87" s="447"/>
      <c r="K87" s="442">
        <v>235000</v>
      </c>
      <c r="L87" s="318"/>
      <c r="M87" s="318"/>
      <c r="N87" s="320"/>
      <c r="O87" s="318"/>
      <c r="P87" s="318"/>
      <c r="Q87" s="318"/>
      <c r="R87" s="318"/>
      <c r="S87" s="321"/>
      <c r="T87" s="321"/>
      <c r="U87" s="321"/>
      <c r="V87" s="321"/>
      <c r="W87" s="321"/>
      <c r="X87" s="321"/>
      <c r="Y87" s="321"/>
      <c r="Z87" s="321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</row>
    <row r="88" spans="1:42" s="336" customFormat="1" ht="39.9" customHeight="1" x14ac:dyDescent="0.25">
      <c r="A88" s="448"/>
      <c r="B88" s="413" t="s">
        <v>78</v>
      </c>
      <c r="C88" s="413" t="s">
        <v>79</v>
      </c>
      <c r="D88" s="242" t="str">
        <f>IF(A$73=15,ROUND(E$4*J88,0),"N/A")</f>
        <v>N/A</v>
      </c>
      <c r="E88" s="243" t="str">
        <f t="shared" si="12"/>
        <v>N/A</v>
      </c>
      <c r="F88" s="242" t="str">
        <f t="shared" si="11"/>
        <v>N/A</v>
      </c>
      <c r="G88" s="462"/>
      <c r="H88" s="459"/>
      <c r="I88" s="449" t="s">
        <v>9</v>
      </c>
      <c r="J88" s="463">
        <v>0.125</v>
      </c>
      <c r="K88" s="442"/>
      <c r="L88" s="318"/>
      <c r="M88" s="318"/>
      <c r="N88" s="320"/>
      <c r="O88" s="318"/>
      <c r="P88" s="318"/>
      <c r="Q88" s="318"/>
      <c r="R88" s="318"/>
      <c r="S88" s="321"/>
      <c r="T88" s="321"/>
      <c r="U88" s="321"/>
      <c r="V88" s="321"/>
      <c r="W88" s="321"/>
      <c r="X88" s="321"/>
      <c r="Y88" s="321"/>
      <c r="Z88" s="321"/>
      <c r="AA88" s="321"/>
      <c r="AB88" s="321"/>
      <c r="AC88" s="321"/>
      <c r="AD88" s="321"/>
      <c r="AE88" s="321"/>
      <c r="AF88" s="321"/>
      <c r="AG88" s="321"/>
      <c r="AH88" s="321"/>
      <c r="AI88" s="321"/>
      <c r="AJ88" s="321"/>
    </row>
    <row r="89" spans="1:42" s="336" customFormat="1" ht="39.9" customHeight="1" x14ac:dyDescent="0.25">
      <c r="A89" s="448"/>
      <c r="B89" s="413" t="s">
        <v>80</v>
      </c>
      <c r="C89" s="413" t="s">
        <v>81</v>
      </c>
      <c r="D89" s="242" t="str">
        <f>IF(A$73=16,IF(E$4*J89&lt;K89,ROUND(E$4*J89,0),K89),"N/A")</f>
        <v>N/A</v>
      </c>
      <c r="E89" s="243" t="str">
        <f t="shared" si="12"/>
        <v>N/A</v>
      </c>
      <c r="F89" s="242" t="str">
        <f t="shared" si="11"/>
        <v>N/A</v>
      </c>
      <c r="G89" s="462"/>
      <c r="H89" s="459"/>
      <c r="I89" s="449" t="s">
        <v>57</v>
      </c>
      <c r="J89" s="450">
        <v>0.05</v>
      </c>
      <c r="K89" s="442">
        <v>230000</v>
      </c>
      <c r="L89" s="318"/>
      <c r="M89" s="318"/>
      <c r="N89" s="320"/>
      <c r="O89" s="318"/>
      <c r="P89" s="318"/>
      <c r="Q89" s="318"/>
      <c r="R89" s="318"/>
      <c r="S89" s="321"/>
      <c r="T89" s="321"/>
      <c r="U89" s="321"/>
      <c r="V89" s="321"/>
      <c r="W89" s="321"/>
      <c r="X89" s="321"/>
      <c r="Y89" s="321"/>
      <c r="Z89" s="321"/>
      <c r="AA89" s="321"/>
      <c r="AB89" s="321"/>
      <c r="AC89" s="321"/>
      <c r="AD89" s="321"/>
      <c r="AE89" s="321"/>
      <c r="AF89" s="321"/>
      <c r="AG89" s="321"/>
      <c r="AH89" s="321"/>
      <c r="AI89" s="321"/>
      <c r="AJ89" s="321"/>
    </row>
    <row r="90" spans="1:42" s="336" customFormat="1" ht="39.9" customHeight="1" x14ac:dyDescent="0.25">
      <c r="A90" s="448"/>
      <c r="B90" s="413" t="s">
        <v>82</v>
      </c>
      <c r="C90" s="413" t="s">
        <v>83</v>
      </c>
      <c r="D90" s="242" t="str">
        <f>IF(A$73=17,ROUND(K4*K90*2,0),"N/A")</f>
        <v>N/A</v>
      </c>
      <c r="E90" s="243" t="str">
        <f t="shared" si="12"/>
        <v>N/A</v>
      </c>
      <c r="F90" s="242" t="str">
        <f t="shared" si="11"/>
        <v>N/A</v>
      </c>
      <c r="G90" s="462"/>
      <c r="H90" s="459"/>
      <c r="I90" s="449"/>
      <c r="J90" s="447"/>
      <c r="K90" s="442">
        <v>205000</v>
      </c>
      <c r="L90" s="318"/>
      <c r="M90" s="318"/>
      <c r="N90" s="320"/>
      <c r="O90" s="318"/>
      <c r="P90" s="318"/>
      <c r="Q90" s="318"/>
      <c r="R90" s="318"/>
      <c r="S90" s="321"/>
      <c r="T90" s="321"/>
      <c r="U90" s="321"/>
      <c r="V90" s="321"/>
      <c r="W90" s="321"/>
      <c r="X90" s="321"/>
      <c r="Y90" s="321"/>
      <c r="Z90" s="321"/>
      <c r="AA90" s="321"/>
      <c r="AB90" s="321"/>
      <c r="AC90" s="321"/>
      <c r="AD90" s="321"/>
      <c r="AE90" s="321"/>
      <c r="AF90" s="321"/>
      <c r="AG90" s="321"/>
      <c r="AH90" s="321"/>
      <c r="AI90" s="321"/>
      <c r="AJ90" s="321"/>
    </row>
    <row r="91" spans="1:42" s="336" customFormat="1" ht="39.9" customHeight="1" x14ac:dyDescent="0.25">
      <c r="A91" s="448"/>
      <c r="B91" s="413" t="s">
        <v>84</v>
      </c>
      <c r="C91" s="413" t="s">
        <v>85</v>
      </c>
      <c r="D91" s="242" t="str">
        <f>IF(A$73=18,ROUND(K4*K91,0),"N/A")</f>
        <v>N/A</v>
      </c>
      <c r="E91" s="243" t="str">
        <f t="shared" si="12"/>
        <v>N/A</v>
      </c>
      <c r="F91" s="242" t="str">
        <f t="shared" si="11"/>
        <v>N/A</v>
      </c>
      <c r="G91" s="462"/>
      <c r="H91" s="459"/>
      <c r="I91" s="464" t="s">
        <v>86</v>
      </c>
      <c r="J91" s="447"/>
      <c r="K91" s="442">
        <v>525000</v>
      </c>
      <c r="L91" s="444"/>
      <c r="M91" s="318"/>
      <c r="N91" s="320"/>
      <c r="O91" s="318"/>
      <c r="P91" s="318"/>
      <c r="Q91" s="337"/>
      <c r="R91" s="318"/>
      <c r="S91" s="321"/>
      <c r="T91" s="321"/>
      <c r="U91" s="321"/>
      <c r="V91" s="321"/>
      <c r="W91" s="321"/>
      <c r="X91" s="321"/>
      <c r="Y91" s="321"/>
      <c r="Z91" s="321"/>
      <c r="AA91" s="321"/>
      <c r="AB91" s="321"/>
      <c r="AC91" s="321"/>
      <c r="AD91" s="321"/>
      <c r="AE91" s="321"/>
      <c r="AF91" s="321"/>
      <c r="AG91" s="321"/>
      <c r="AH91" s="321"/>
      <c r="AI91" s="321"/>
      <c r="AJ91" s="321"/>
    </row>
    <row r="92" spans="1:42" s="336" customFormat="1" ht="19.5" customHeight="1" x14ac:dyDescent="0.25">
      <c r="A92" s="448"/>
      <c r="B92" s="460" t="s">
        <v>87</v>
      </c>
      <c r="C92" s="465"/>
      <c r="D92" s="466"/>
      <c r="E92" s="466"/>
      <c r="F92" s="456"/>
      <c r="G92" s="462"/>
      <c r="H92" s="459"/>
      <c r="I92" s="467" t="s">
        <v>88</v>
      </c>
      <c r="J92" s="447"/>
      <c r="K92" s="442"/>
      <c r="L92" s="444"/>
      <c r="M92" s="318"/>
      <c r="N92" s="320"/>
      <c r="O92" s="318"/>
      <c r="P92" s="318"/>
      <c r="Q92" s="329"/>
      <c r="R92" s="318"/>
      <c r="S92" s="321"/>
      <c r="T92" s="321"/>
      <c r="U92" s="321"/>
      <c r="V92" s="321"/>
      <c r="W92" s="321"/>
      <c r="X92" s="321"/>
      <c r="Y92" s="321"/>
      <c r="Z92" s="321"/>
      <c r="AA92" s="321"/>
      <c r="AB92" s="321"/>
      <c r="AC92" s="321"/>
      <c r="AD92" s="321"/>
      <c r="AE92" s="321"/>
      <c r="AF92" s="321"/>
      <c r="AG92" s="321"/>
      <c r="AH92" s="321"/>
      <c r="AI92" s="321"/>
      <c r="AJ92" s="321"/>
      <c r="AK92" s="321"/>
      <c r="AL92" s="321"/>
      <c r="AM92" s="321"/>
      <c r="AN92" s="321"/>
      <c r="AO92" s="321"/>
      <c r="AP92" s="321"/>
    </row>
    <row r="93" spans="1:42" s="336" customFormat="1" ht="39.9" customHeight="1" x14ac:dyDescent="0.25">
      <c r="A93" s="448"/>
      <c r="B93" s="413" t="s">
        <v>89</v>
      </c>
      <c r="C93" s="413" t="s">
        <v>90</v>
      </c>
      <c r="D93" s="242" t="str">
        <f>IF(A73=20,IF($E$4*J93&lt;$K$4*K93,ROUND($E$4*J93,0),ROUND($K$4*K93,0)),"N/A")</f>
        <v>N/A</v>
      </c>
      <c r="E93" s="243" t="str">
        <f t="shared" si="12"/>
        <v>N/A</v>
      </c>
      <c r="F93" s="242" t="str">
        <f>IF(E93="N/A","N/A",ROUND(J$46,0)-ROUND(D93,0))</f>
        <v>N/A</v>
      </c>
      <c r="G93" s="462"/>
      <c r="H93" s="459"/>
      <c r="I93" s="467" t="s">
        <v>91</v>
      </c>
      <c r="J93" s="450">
        <v>0.4</v>
      </c>
      <c r="K93" s="442">
        <v>240000</v>
      </c>
      <c r="L93" s="468"/>
      <c r="M93" s="318"/>
      <c r="N93" s="320"/>
      <c r="O93" s="318"/>
      <c r="P93" s="337"/>
      <c r="Q93" s="337"/>
      <c r="R93" s="337"/>
      <c r="S93" s="321"/>
      <c r="T93" s="321"/>
      <c r="U93" s="321"/>
      <c r="V93" s="321"/>
      <c r="W93" s="321"/>
      <c r="X93" s="321"/>
      <c r="Y93" s="321"/>
      <c r="Z93" s="321"/>
      <c r="AA93" s="321"/>
      <c r="AB93" s="321"/>
      <c r="AC93" s="321"/>
      <c r="AD93" s="321"/>
      <c r="AE93" s="321"/>
      <c r="AF93" s="321"/>
      <c r="AG93" s="321"/>
      <c r="AH93" s="321"/>
      <c r="AI93" s="321"/>
      <c r="AJ93" s="321"/>
      <c r="AK93" s="321"/>
      <c r="AL93" s="321"/>
      <c r="AM93" s="321"/>
      <c r="AN93" s="321"/>
      <c r="AO93" s="321"/>
      <c r="AP93" s="321"/>
    </row>
    <row r="94" spans="1:42" s="336" customFormat="1" ht="39.9" customHeight="1" x14ac:dyDescent="0.25">
      <c r="A94" s="448"/>
      <c r="B94" s="413" t="s">
        <v>92</v>
      </c>
      <c r="C94" s="413" t="s">
        <v>93</v>
      </c>
      <c r="D94" s="242" t="str">
        <f>IF(A73=21,ROUND($K$4*K94,0),"N/A")</f>
        <v>N/A</v>
      </c>
      <c r="E94" s="243" t="str">
        <f t="shared" si="12"/>
        <v>N/A</v>
      </c>
      <c r="F94" s="242" t="str">
        <f>IF(E94="N/A","N/A",ROUND(J$46,0)-ROUND(D94,0))</f>
        <v>N/A</v>
      </c>
      <c r="G94" s="469"/>
      <c r="H94" s="459"/>
      <c r="I94" s="446"/>
      <c r="J94" s="447"/>
      <c r="K94" s="442">
        <v>240000</v>
      </c>
      <c r="L94" s="318"/>
      <c r="M94" s="318"/>
      <c r="N94" s="320"/>
      <c r="O94" s="318"/>
      <c r="P94" s="318"/>
      <c r="Q94" s="318"/>
      <c r="R94" s="318"/>
      <c r="S94" s="321"/>
      <c r="T94" s="321"/>
      <c r="U94" s="321"/>
      <c r="V94" s="321"/>
      <c r="W94" s="321"/>
      <c r="X94" s="321"/>
      <c r="Y94" s="321"/>
      <c r="Z94" s="321"/>
      <c r="AA94" s="321"/>
      <c r="AB94" s="321"/>
      <c r="AC94" s="321"/>
      <c r="AD94" s="321"/>
      <c r="AE94" s="321"/>
      <c r="AF94" s="321"/>
      <c r="AG94" s="321"/>
      <c r="AH94" s="321"/>
      <c r="AI94" s="321"/>
      <c r="AJ94" s="321"/>
      <c r="AK94" s="321"/>
      <c r="AL94" s="321"/>
      <c r="AM94" s="321"/>
      <c r="AN94" s="321"/>
      <c r="AO94" s="321"/>
      <c r="AP94" s="321"/>
    </row>
    <row r="95" spans="1:42" s="336" customFormat="1" ht="17.100000000000001" customHeight="1" x14ac:dyDescent="0.25">
      <c r="A95" s="318"/>
      <c r="B95" s="470"/>
      <c r="C95" s="470"/>
      <c r="D95" s="103"/>
      <c r="E95" s="3"/>
      <c r="F95" s="103"/>
      <c r="G95" s="320"/>
      <c r="H95" s="337"/>
      <c r="I95" s="318"/>
      <c r="J95" s="318"/>
      <c r="K95" s="318"/>
      <c r="L95" s="318"/>
      <c r="M95" s="318"/>
      <c r="N95" s="320"/>
      <c r="O95" s="318"/>
      <c r="P95" s="318"/>
      <c r="Q95" s="318"/>
      <c r="R95" s="318"/>
      <c r="S95" s="321"/>
      <c r="T95" s="321"/>
      <c r="U95" s="321"/>
      <c r="V95" s="321"/>
      <c r="W95" s="321"/>
      <c r="X95" s="321"/>
      <c r="Y95" s="321"/>
      <c r="Z95" s="321"/>
      <c r="AA95" s="321"/>
      <c r="AB95" s="321"/>
      <c r="AC95" s="321"/>
      <c r="AD95" s="321"/>
      <c r="AE95" s="321"/>
      <c r="AF95" s="321"/>
      <c r="AG95" s="321"/>
      <c r="AH95" s="321"/>
      <c r="AI95" s="321"/>
      <c r="AJ95" s="321"/>
      <c r="AK95" s="321"/>
      <c r="AL95" s="321"/>
      <c r="AM95" s="321"/>
      <c r="AN95" s="321"/>
      <c r="AO95" s="321"/>
      <c r="AP95" s="321"/>
    </row>
    <row r="96" spans="1:42" s="418" customFormat="1" ht="30" customHeight="1" x14ac:dyDescent="0.25">
      <c r="A96" s="471" t="s">
        <v>94</v>
      </c>
      <c r="B96" s="472"/>
      <c r="C96" s="473"/>
      <c r="D96" s="10"/>
      <c r="E96" s="11"/>
      <c r="F96" s="10"/>
      <c r="G96" s="417"/>
      <c r="H96" s="417"/>
      <c r="I96" s="417"/>
      <c r="J96" s="417"/>
      <c r="K96" s="417"/>
      <c r="L96" s="417"/>
      <c r="M96" s="417"/>
      <c r="N96" s="320"/>
      <c r="O96" s="417"/>
      <c r="P96" s="417"/>
      <c r="Q96" s="417"/>
      <c r="R96" s="417"/>
    </row>
    <row r="97" spans="1:45" s="476" customFormat="1" ht="30" customHeight="1" x14ac:dyDescent="0.25">
      <c r="A97" s="538" t="s">
        <v>95</v>
      </c>
      <c r="B97" s="529"/>
      <c r="C97" s="539" t="s">
        <v>96</v>
      </c>
      <c r="D97" s="539"/>
      <c r="E97" s="540"/>
      <c r="F97" s="541" t="s">
        <v>202</v>
      </c>
      <c r="G97" s="541"/>
      <c r="H97" s="541"/>
      <c r="I97" s="542" t="s">
        <v>97</v>
      </c>
      <c r="J97" s="543"/>
      <c r="K97" s="544"/>
      <c r="L97" s="474"/>
      <c r="M97" s="474"/>
      <c r="N97" s="320"/>
      <c r="O97" s="474"/>
      <c r="P97" s="474"/>
      <c r="Q97" s="474"/>
      <c r="R97" s="474"/>
      <c r="S97" s="475"/>
      <c r="T97" s="475"/>
      <c r="U97" s="475"/>
      <c r="V97" s="475"/>
      <c r="W97" s="475"/>
      <c r="X97" s="475"/>
      <c r="Y97" s="475"/>
      <c r="Z97" s="475"/>
      <c r="AA97" s="475"/>
      <c r="AB97" s="475"/>
      <c r="AC97" s="475"/>
      <c r="AD97" s="475"/>
      <c r="AE97" s="475"/>
      <c r="AF97" s="475"/>
      <c r="AG97" s="475"/>
      <c r="AH97" s="475"/>
      <c r="AI97" s="475"/>
      <c r="AJ97" s="475"/>
      <c r="AK97" s="475"/>
      <c r="AL97" s="475"/>
      <c r="AM97" s="475"/>
      <c r="AN97" s="475"/>
      <c r="AO97" s="475"/>
      <c r="AP97" s="475"/>
      <c r="AQ97" s="475"/>
      <c r="AR97" s="475"/>
      <c r="AS97" s="475"/>
    </row>
    <row r="98" spans="1:45" s="441" customFormat="1" ht="52.5" customHeight="1" x14ac:dyDescent="0.25">
      <c r="A98" s="528" t="s">
        <v>46</v>
      </c>
      <c r="B98" s="529"/>
      <c r="C98" s="477" t="s">
        <v>98</v>
      </c>
      <c r="D98" s="478" t="s">
        <v>99</v>
      </c>
      <c r="E98" s="479" t="s">
        <v>100</v>
      </c>
      <c r="F98" s="480" t="s">
        <v>203</v>
      </c>
      <c r="G98" s="481" t="s">
        <v>99</v>
      </c>
      <c r="H98" s="481" t="s">
        <v>100</v>
      </c>
      <c r="I98" s="482" t="s">
        <v>101</v>
      </c>
      <c r="J98" s="483" t="s">
        <v>99</v>
      </c>
      <c r="K98" s="483" t="s">
        <v>100</v>
      </c>
      <c r="L98" s="352"/>
      <c r="M98" s="484"/>
      <c r="N98" s="320"/>
      <c r="O98" s="352"/>
      <c r="P98" s="352"/>
      <c r="Q98" s="352"/>
      <c r="R98" s="352"/>
      <c r="S98" s="339"/>
      <c r="T98" s="339"/>
      <c r="U98" s="339"/>
      <c r="V98" s="339"/>
      <c r="W98" s="339"/>
      <c r="X98" s="339"/>
      <c r="Y98" s="339"/>
      <c r="Z98" s="339"/>
      <c r="AA98" s="339"/>
      <c r="AB98" s="339"/>
      <c r="AC98" s="339"/>
      <c r="AD98" s="339"/>
      <c r="AE98" s="339"/>
      <c r="AF98" s="339"/>
      <c r="AG98" s="339"/>
      <c r="AH98" s="339"/>
      <c r="AI98" s="339"/>
      <c r="AJ98" s="339"/>
      <c r="AK98" s="339"/>
      <c r="AL98" s="339"/>
      <c r="AM98" s="339"/>
      <c r="AN98" s="339"/>
    </row>
    <row r="99" spans="1:45" ht="47.4" customHeight="1" x14ac:dyDescent="0.25">
      <c r="A99" s="485" t="s">
        <v>102</v>
      </c>
      <c r="B99" s="486" t="s">
        <v>103</v>
      </c>
      <c r="C99" s="242" t="str">
        <f>IF(AND($E$10&lt;&gt;"Yes",$C$32&gt;0),ROUND(F8*$E$4,0),"N/A")</f>
        <v>N/A</v>
      </c>
      <c r="D99" s="243" t="str">
        <f>IF(C99="N/A","N/A",IF($C$32&gt;C99,"No","Yes"))</f>
        <v>N/A</v>
      </c>
      <c r="E99" s="242" t="str">
        <f>IF(D99="No",$C$32-C99,"N/A")</f>
        <v>N/A</v>
      </c>
      <c r="F99" s="242" t="str">
        <f>IF(AND($E$10&lt;&gt;"Yes",$C$32&gt;0),ROUND(F8*$E$4,0),"N/A")</f>
        <v>N/A</v>
      </c>
      <c r="G99" s="243" t="str">
        <f>IF($E$10="No",IF($C$32&gt;F99,"No","Yes"),"N/A")</f>
        <v>N/A</v>
      </c>
      <c r="H99" s="242" t="str">
        <f>IF(G99="No",$C$32-F99,"N/A")</f>
        <v>N/A</v>
      </c>
      <c r="I99" s="76"/>
      <c r="J99" s="487" t="str">
        <f>IF(I$73=2,I$91,IF(I$73=3,I92,""))</f>
        <v/>
      </c>
      <c r="K99" s="488"/>
      <c r="L99" s="318"/>
      <c r="M99" s="319"/>
      <c r="N99" s="320"/>
      <c r="O99" s="318"/>
      <c r="P99" s="318"/>
      <c r="Q99" s="318"/>
      <c r="R99" s="318"/>
      <c r="AO99" s="322"/>
      <c r="AP99" s="322"/>
    </row>
    <row r="100" spans="1:45" ht="60" customHeight="1" x14ac:dyDescent="0.25">
      <c r="A100" s="310" t="str">
        <f>I91</f>
        <v>English Regional Production Bonus</v>
      </c>
      <c r="B100" s="180" t="s">
        <v>104</v>
      </c>
      <c r="C100" s="242" t="str">
        <f>IF(AND($I$73=2,E10="Yes"),MIN(N(F100)+N(I100),ROUND(0.84*$E$4,0)),"N/A")</f>
        <v>N/A</v>
      </c>
      <c r="D100" s="243" t="str">
        <f>IF(AND($I$73=2,E10="Yes"),
IF(OR($C$32+$C$33&gt;C100,G100="No",J100="No"),"No","Yes"),"N/A")</f>
        <v>N/A</v>
      </c>
      <c r="E100" s="242" t="str">
        <f>IF(D100="No",MAX($C$32+$C$33-N(C100),N(H100)+N(K100)),"N/A")</f>
        <v>N/A</v>
      </c>
      <c r="F100" s="242" t="str">
        <f>IF(AND($I$73=2,E$10="Yes"),IF($C$32&gt;0,ROUND(F$8*$E$4,0),"N/A"),"N/A")</f>
        <v>N/A</v>
      </c>
      <c r="G100" s="243" t="str">
        <f>IF(F100="N/A","N/A",IF($C$32&gt;F100,"No","Yes"))</f>
        <v>N/A</v>
      </c>
      <c r="H100" s="242" t="str">
        <f>IF(G100="No",$C$32-F100,"N/A")</f>
        <v>N/A</v>
      </c>
      <c r="I100" s="242" t="str">
        <f>IF(AND($I$73=2,E10="Yes"),MIN(ROUND(0.15*$E$4,0),1000000),"N/A")</f>
        <v>N/A</v>
      </c>
      <c r="J100" s="243" t="str">
        <f>IF(I100="N/A","N/A",IF($E$11&gt;I100,"No","Yes"))</f>
        <v>N/A</v>
      </c>
      <c r="K100" s="242" t="str">
        <f>IF(J100="No",$C$33-I100,"N/A")</f>
        <v>N/A</v>
      </c>
      <c r="L100" s="318"/>
      <c r="M100" s="319"/>
      <c r="N100" s="320"/>
      <c r="O100" s="318"/>
      <c r="P100" s="318"/>
      <c r="Q100" s="318"/>
      <c r="R100" s="318"/>
      <c r="AO100" s="322"/>
      <c r="AP100" s="322"/>
    </row>
    <row r="101" spans="1:45" ht="55.2" hidden="1" customHeight="1" x14ac:dyDescent="0.25">
      <c r="A101" s="310" t="str">
        <f>I93</f>
        <v>Anglophone Minority Incentive</v>
      </c>
      <c r="B101" s="180" t="s">
        <v>105</v>
      </c>
      <c r="C101" s="242" t="str">
        <f>IF(AND($I$73=4,E11="Yes"),MIN(F101+I101,ROUND(0.84*$E$4,0)),"N/A")</f>
        <v>N/A</v>
      </c>
      <c r="D101" s="243" t="str">
        <f>IF(C101="N/A","N/A",IF(OR($C$33&gt;I101, $C$32&gt;F101),"No","Yes"))</f>
        <v>N/A</v>
      </c>
      <c r="E101" s="242" t="str">
        <f>IF(D101="No",MAX($C$32+$C$33-N(C101),N(H101)+N(K101)),"N/A")</f>
        <v>N/A</v>
      </c>
      <c r="F101" s="242" t="str">
        <f>IF(AND($I$73=4,E11="Yes"),IF($C$32&gt;0,ROUND(F9*$E$4,0),0),"N/A")</f>
        <v>N/A</v>
      </c>
      <c r="G101" s="243" t="str">
        <f>IF(F101="N/A","N/A",IF($C$32&gt;F101,"No","Yes"))</f>
        <v>N/A</v>
      </c>
      <c r="H101" s="242" t="str">
        <f>IF(G101="No",$C$32-F101,"N/A")</f>
        <v>N/A</v>
      </c>
      <c r="I101" s="242" t="str">
        <f>IF(AND($I$73=4,E11="Yes"),IF(A$73&lt;&gt;15,MIN(ROUND(#REF!*$E$4,0),900000),MIN(ROUND(#REF!*$E$4,0),600000)),"N/A")</f>
        <v>N/A</v>
      </c>
      <c r="J101" s="243" t="str">
        <f>IF(I101="N/A","N/A",IF($E$11&gt;I101,"No","Yes"))</f>
        <v>N/A</v>
      </c>
      <c r="K101" s="242" t="str">
        <f>IF(J101="No",$C$33-I101,"N/A")</f>
        <v>N/A</v>
      </c>
      <c r="L101" s="318"/>
      <c r="M101" s="319"/>
      <c r="N101" s="320"/>
      <c r="O101" s="318"/>
      <c r="P101" s="318"/>
      <c r="Q101" s="318"/>
      <c r="R101" s="318"/>
      <c r="AO101" s="322"/>
      <c r="AP101" s="322"/>
    </row>
    <row r="102" spans="1:45" ht="60" customHeight="1" x14ac:dyDescent="0.25">
      <c r="A102" s="310" t="str">
        <f>I92</f>
        <v>Northern Production Incentive</v>
      </c>
      <c r="B102" s="180" t="s">
        <v>106</v>
      </c>
      <c r="C102" s="242" t="str">
        <f>IF(AND($I$73=3,E$10="Yes"),MIN(N(F102)+N(I102),ROUND(0.84*$E$4,0)),"N/A")</f>
        <v>N/A</v>
      </c>
      <c r="D102" s="243" t="str">
        <f>IF(AND($I$73=3,E$10="Yes"),
IF(OR($C$32+$C$33&gt;C102,G102="No",J102="No"),"No","Yes"),"N/A")</f>
        <v>N/A</v>
      </c>
      <c r="E102" s="242" t="str">
        <f>IF(D102="No",MAX($C$32+$C$33-N(C102),N(H102)+N(K102)),"N/A")</f>
        <v>N/A</v>
      </c>
      <c r="F102" s="242" t="str">
        <f>IF(AND($I$73=3,E$10="Yes"),IF($C$32&gt;0,ROUND(F$8*$E$4,0),"N/A"),"N/A")</f>
        <v>N/A</v>
      </c>
      <c r="G102" s="243" t="str">
        <f>IF(F102="N/A","N/A",IF($C$32&gt;F102,"No","Yes"))</f>
        <v>N/A</v>
      </c>
      <c r="H102" s="242" t="str">
        <f>IF(G102="No",$C$32-F102,"N/A")</f>
        <v>N/A</v>
      </c>
      <c r="I102" s="242" t="str">
        <f>IF(AND($I$73=3,E10="Yes"),MIN(ROUND(0.3*$E$4,0),200000),"N/A")</f>
        <v>N/A</v>
      </c>
      <c r="J102" s="243" t="str">
        <f>IF(I102="N/A","N/A",IF($E$11&gt;I102,"No","Yes"))</f>
        <v>N/A</v>
      </c>
      <c r="K102" s="242" t="str">
        <f>IF(J102="No",$C$33-I102,"N/A")</f>
        <v>N/A</v>
      </c>
      <c r="L102" s="318"/>
      <c r="M102" s="318"/>
      <c r="N102" s="320"/>
      <c r="O102" s="318"/>
      <c r="P102" s="318"/>
      <c r="Q102" s="318"/>
      <c r="R102" s="318"/>
      <c r="AQ102" s="321"/>
    </row>
    <row r="103" spans="1:45" x14ac:dyDescent="0.25">
      <c r="A103" s="409"/>
      <c r="B103" s="489"/>
      <c r="C103" s="409"/>
      <c r="D103" s="409"/>
      <c r="E103" s="409"/>
      <c r="F103" s="409"/>
      <c r="G103" s="409"/>
      <c r="H103" s="409"/>
      <c r="I103" s="409"/>
      <c r="J103" s="409"/>
      <c r="K103" s="409"/>
      <c r="L103" s="318"/>
      <c r="M103" s="318"/>
      <c r="N103" s="320"/>
      <c r="O103" s="318"/>
      <c r="P103" s="318"/>
      <c r="Q103" s="318"/>
      <c r="R103" s="318"/>
    </row>
    <row r="104" spans="1:45" s="325" customFormat="1" x14ac:dyDescent="0.25">
      <c r="A104" s="490"/>
      <c r="B104" s="491"/>
      <c r="C104" s="492"/>
      <c r="D104" s="493"/>
      <c r="E104" s="492"/>
      <c r="F104" s="494"/>
      <c r="G104" s="492"/>
      <c r="H104" s="492"/>
      <c r="I104" s="492"/>
      <c r="J104" s="492"/>
      <c r="K104" s="492"/>
      <c r="L104" s="495"/>
      <c r="M104" s="495"/>
      <c r="N104" s="320"/>
      <c r="O104" s="495"/>
      <c r="P104" s="495"/>
      <c r="Q104" s="495"/>
      <c r="R104" s="495"/>
      <c r="S104" s="496"/>
      <c r="T104" s="496"/>
      <c r="U104" s="496"/>
      <c r="V104" s="496"/>
      <c r="W104" s="496"/>
      <c r="X104" s="496"/>
      <c r="Y104" s="496"/>
      <c r="Z104" s="496"/>
      <c r="AA104" s="496"/>
      <c r="AB104" s="496"/>
      <c r="AC104" s="496"/>
      <c r="AD104" s="496"/>
      <c r="AE104" s="496"/>
      <c r="AF104" s="496"/>
      <c r="AG104" s="496"/>
      <c r="AH104" s="496"/>
      <c r="AI104" s="496"/>
      <c r="AJ104" s="496"/>
      <c r="AK104" s="496"/>
      <c r="AL104" s="496"/>
      <c r="AM104" s="496"/>
      <c r="AN104" s="496"/>
      <c r="AO104" s="496"/>
      <c r="AP104" s="496"/>
    </row>
    <row r="105" spans="1:45" x14ac:dyDescent="0.25">
      <c r="A105" s="409"/>
      <c r="B105" s="489"/>
      <c r="C105" s="409"/>
      <c r="D105" s="493"/>
      <c r="E105" s="409"/>
      <c r="F105" s="409"/>
      <c r="G105" s="409"/>
      <c r="H105" s="409"/>
      <c r="I105" s="409"/>
      <c r="J105" s="409"/>
      <c r="K105" s="409"/>
      <c r="L105" s="318"/>
      <c r="M105" s="318"/>
      <c r="N105" s="320"/>
      <c r="O105" s="318"/>
      <c r="P105" s="318"/>
      <c r="Q105" s="318"/>
      <c r="R105" s="318"/>
    </row>
    <row r="106" spans="1:45" x14ac:dyDescent="0.25">
      <c r="A106" s="409"/>
      <c r="B106" s="489"/>
      <c r="C106" s="493"/>
      <c r="D106" s="493"/>
      <c r="E106" s="493"/>
      <c r="F106" s="493"/>
      <c r="G106" s="493"/>
      <c r="H106" s="493"/>
      <c r="I106" s="493"/>
      <c r="J106" s="493"/>
      <c r="K106" s="493"/>
      <c r="L106" s="318"/>
      <c r="M106" s="318"/>
      <c r="N106" s="320"/>
      <c r="O106" s="318"/>
      <c r="P106" s="318"/>
      <c r="Q106" s="318"/>
      <c r="R106" s="318"/>
    </row>
    <row r="107" spans="1:45" x14ac:dyDescent="0.25">
      <c r="A107" s="318"/>
      <c r="B107" s="319"/>
      <c r="C107" s="318"/>
      <c r="D107" s="318"/>
      <c r="E107" s="497"/>
      <c r="F107" s="346"/>
      <c r="G107" s="318"/>
      <c r="H107" s="318"/>
      <c r="I107" s="318"/>
      <c r="J107" s="318"/>
      <c r="K107" s="318"/>
      <c r="L107" s="318"/>
      <c r="M107" s="318"/>
      <c r="N107" s="320"/>
      <c r="O107" s="318"/>
      <c r="P107" s="318"/>
      <c r="Q107" s="318"/>
      <c r="R107" s="318"/>
    </row>
    <row r="108" spans="1:45" x14ac:dyDescent="0.25">
      <c r="A108" s="318"/>
      <c r="B108" s="319"/>
      <c r="C108" s="318"/>
      <c r="D108" s="318"/>
      <c r="E108" s="497"/>
      <c r="F108" s="318"/>
      <c r="G108" s="318"/>
      <c r="H108" s="318"/>
      <c r="I108" s="318"/>
      <c r="J108" s="318"/>
      <c r="K108" s="318"/>
      <c r="L108" s="318"/>
      <c r="M108" s="318"/>
      <c r="N108" s="320"/>
      <c r="O108" s="318"/>
      <c r="P108" s="318"/>
      <c r="Q108" s="318"/>
      <c r="R108" s="318"/>
    </row>
    <row r="109" spans="1:45" x14ac:dyDescent="0.25">
      <c r="A109" s="318"/>
      <c r="B109" s="319"/>
      <c r="C109" s="318"/>
      <c r="D109" s="318"/>
      <c r="E109" s="318"/>
      <c r="F109" s="318"/>
      <c r="G109" s="318"/>
      <c r="H109" s="318"/>
      <c r="I109" s="318"/>
      <c r="J109" s="318"/>
      <c r="K109" s="318"/>
      <c r="L109" s="318"/>
      <c r="M109" s="318"/>
      <c r="N109" s="320"/>
      <c r="O109" s="318"/>
      <c r="P109" s="318"/>
      <c r="Q109" s="318"/>
      <c r="R109" s="318"/>
    </row>
    <row r="110" spans="1:45" x14ac:dyDescent="0.25">
      <c r="A110" s="318"/>
      <c r="B110" s="319"/>
      <c r="C110" s="318"/>
      <c r="D110" s="318"/>
      <c r="E110" s="318"/>
      <c r="F110" s="318"/>
      <c r="G110" s="318"/>
      <c r="H110" s="318"/>
      <c r="I110" s="318"/>
      <c r="J110" s="318"/>
      <c r="K110" s="318"/>
      <c r="L110" s="318"/>
      <c r="M110" s="318"/>
      <c r="N110" s="320"/>
      <c r="O110" s="318"/>
      <c r="P110" s="318"/>
      <c r="Q110" s="318"/>
      <c r="R110" s="318"/>
    </row>
    <row r="111" spans="1:45" x14ac:dyDescent="0.25">
      <c r="A111" s="318"/>
      <c r="B111" s="498"/>
      <c r="C111" s="499"/>
      <c r="D111" s="318"/>
      <c r="E111" s="318"/>
      <c r="F111" s="318"/>
      <c r="G111" s="318"/>
      <c r="H111" s="318"/>
      <c r="I111" s="318"/>
      <c r="J111" s="318"/>
      <c r="K111" s="318"/>
      <c r="L111" s="318"/>
      <c r="M111" s="318"/>
      <c r="N111" s="320"/>
      <c r="O111" s="318"/>
      <c r="P111" s="318"/>
      <c r="Q111" s="318"/>
      <c r="R111" s="318"/>
    </row>
    <row r="112" spans="1:45" s="321" customFormat="1" x14ac:dyDescent="0.25">
      <c r="A112" s="318"/>
      <c r="B112" s="500"/>
      <c r="C112" s="318"/>
      <c r="D112" s="318"/>
      <c r="E112" s="318"/>
      <c r="F112" s="318"/>
      <c r="G112" s="318"/>
      <c r="H112" s="318"/>
      <c r="I112" s="318"/>
      <c r="J112" s="318"/>
      <c r="K112" s="318"/>
      <c r="L112" s="318"/>
      <c r="M112" s="318"/>
      <c r="N112" s="320"/>
      <c r="O112" s="318"/>
      <c r="P112" s="318"/>
      <c r="Q112" s="318"/>
      <c r="R112" s="318"/>
      <c r="AQ112" s="322"/>
      <c r="AR112" s="322"/>
      <c r="AS112" s="322"/>
    </row>
    <row r="113" spans="1:45" s="321" customFormat="1" x14ac:dyDescent="0.25">
      <c r="A113" s="318"/>
      <c r="B113" s="319"/>
      <c r="C113" s="318"/>
      <c r="D113" s="318"/>
      <c r="E113" s="318"/>
      <c r="F113" s="318"/>
      <c r="G113" s="318"/>
      <c r="H113" s="318"/>
      <c r="I113" s="318"/>
      <c r="J113" s="318"/>
      <c r="K113" s="318"/>
      <c r="L113" s="318"/>
      <c r="M113" s="318"/>
      <c r="N113" s="320"/>
      <c r="O113" s="318"/>
      <c r="P113" s="318"/>
      <c r="Q113" s="318"/>
      <c r="R113" s="318"/>
      <c r="AQ113" s="322"/>
      <c r="AR113" s="322"/>
      <c r="AS113" s="322"/>
    </row>
    <row r="114" spans="1:45" s="321" customFormat="1" x14ac:dyDescent="0.25">
      <c r="A114" s="318"/>
      <c r="B114" s="319"/>
      <c r="C114" s="318"/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20"/>
      <c r="O114" s="318"/>
      <c r="P114" s="318"/>
      <c r="Q114" s="318"/>
      <c r="R114" s="318"/>
      <c r="AQ114" s="322"/>
      <c r="AR114" s="322"/>
      <c r="AS114" s="322"/>
    </row>
    <row r="115" spans="1:45" s="321" customFormat="1" x14ac:dyDescent="0.25">
      <c r="A115" s="318"/>
      <c r="B115" s="319"/>
      <c r="C115" s="318"/>
      <c r="D115" s="318"/>
      <c r="E115" s="318"/>
      <c r="F115" s="318"/>
      <c r="G115" s="318"/>
      <c r="H115" s="318"/>
      <c r="I115" s="318"/>
      <c r="J115" s="318"/>
      <c r="K115" s="318"/>
      <c r="L115" s="318"/>
      <c r="M115" s="318"/>
      <c r="N115" s="320"/>
      <c r="O115" s="318"/>
      <c r="P115" s="318"/>
      <c r="Q115" s="318"/>
      <c r="R115" s="318"/>
      <c r="AQ115" s="322"/>
      <c r="AR115" s="322"/>
      <c r="AS115" s="322"/>
    </row>
  </sheetData>
  <sheetProtection algorithmName="SHA-512" hashValue="Sd5AiJbzj5qNTpgHMD+iR8LJm7o0jNBbtfxbdvaIW/MOb60TCSqMmoJQFjyP+/t3eQtlKNPklVW7SiqqmLz0mg==" saltValue="+dYheBosfYV8gD8yKpvMaA==" spinCount="100000" sheet="1" objects="1" scenarios="1"/>
  <mergeCells count="31">
    <mergeCell ref="C8:D8"/>
    <mergeCell ref="I8:J8"/>
    <mergeCell ref="C1:K1"/>
    <mergeCell ref="B2:D2"/>
    <mergeCell ref="F2:H2"/>
    <mergeCell ref="I2:J2"/>
    <mergeCell ref="C4:D4"/>
    <mergeCell ref="C47:D47"/>
    <mergeCell ref="C10:D10"/>
    <mergeCell ref="I10:J10"/>
    <mergeCell ref="B14:D14"/>
    <mergeCell ref="A17:B17"/>
    <mergeCell ref="A23:B23"/>
    <mergeCell ref="J24:K25"/>
    <mergeCell ref="A33:B33"/>
    <mergeCell ref="A35:A36"/>
    <mergeCell ref="B35:L36"/>
    <mergeCell ref="A38:L38"/>
    <mergeCell ref="A39:B39"/>
    <mergeCell ref="B13:D13"/>
    <mergeCell ref="B15:D15"/>
    <mergeCell ref="A98:B98"/>
    <mergeCell ref="A51:K51"/>
    <mergeCell ref="A55:B55"/>
    <mergeCell ref="A56:B56"/>
    <mergeCell ref="I59:J59"/>
    <mergeCell ref="B74:C74"/>
    <mergeCell ref="A97:B97"/>
    <mergeCell ref="C97:E97"/>
    <mergeCell ref="F97:H97"/>
    <mergeCell ref="I97:K97"/>
  </mergeCells>
  <conditionalFormatting sqref="B59 B63 B65 B67 B69">
    <cfRule type="expression" dxfId="73" priority="24">
      <formula>B59=$W$59</formula>
    </cfRule>
  </conditionalFormatting>
  <conditionalFormatting sqref="B60 B62 B64 B66 B68 B70">
    <cfRule type="containsText" dxfId="72" priority="7" operator="containsText" text="Missing Information">
      <formula>NOT(ISERROR(SEARCH("Missing Information",B60)))</formula>
    </cfRule>
    <cfRule type="containsText" dxfId="71" priority="17" operator="containsText" text="N/A">
      <formula>NOT(ISERROR(SEARCH("N/A",B60)))</formula>
    </cfRule>
  </conditionalFormatting>
  <conditionalFormatting sqref="B60">
    <cfRule type="expression" dxfId="70" priority="23">
      <formula>B60=$W$58</formula>
    </cfRule>
  </conditionalFormatting>
  <conditionalFormatting sqref="B61">
    <cfRule type="expression" dxfId="69" priority="25">
      <formula>B61=$W$59</formula>
    </cfRule>
  </conditionalFormatting>
  <conditionalFormatting sqref="B62">
    <cfRule type="expression" dxfId="68" priority="22">
      <formula>B62=$W$58</formula>
    </cfRule>
  </conditionalFormatting>
  <conditionalFormatting sqref="B64">
    <cfRule type="expression" dxfId="67" priority="21">
      <formula>B64=$W$58</formula>
    </cfRule>
  </conditionalFormatting>
  <conditionalFormatting sqref="B66">
    <cfRule type="expression" dxfId="66" priority="20">
      <formula>B66=$W$58</formula>
    </cfRule>
  </conditionalFormatting>
  <conditionalFormatting sqref="B68">
    <cfRule type="expression" dxfId="65" priority="19">
      <formula>B68=$W$58</formula>
    </cfRule>
  </conditionalFormatting>
  <conditionalFormatting sqref="B70">
    <cfRule type="expression" dxfId="64" priority="18">
      <formula>B70=$W$58</formula>
    </cfRule>
  </conditionalFormatting>
  <conditionalFormatting sqref="B13:E15">
    <cfRule type="expression" dxfId="63" priority="4">
      <formula>$I$73&lt;&gt;2</formula>
    </cfRule>
  </conditionalFormatting>
  <conditionalFormatting sqref="C56:H56">
    <cfRule type="containsText" dxfId="62" priority="16" operator="containsText" text="No">
      <formula>NOT(ISERROR(SEARCH("No",C56)))</formula>
    </cfRule>
  </conditionalFormatting>
  <conditionalFormatting sqref="D27">
    <cfRule type="expression" dxfId="61" priority="37">
      <formula>$X$27=1</formula>
    </cfRule>
  </conditionalFormatting>
  <conditionalFormatting sqref="D99:D102 G99:G102 J100:J102">
    <cfRule type="containsText" dxfId="60" priority="40" operator="containsText" text="No">
      <formula>NOT(ISERROR(SEARCH("No",D99)))</formula>
    </cfRule>
  </conditionalFormatting>
  <conditionalFormatting sqref="D26:E26">
    <cfRule type="expression" dxfId="59" priority="38">
      <formula>$X$26=1</formula>
    </cfRule>
  </conditionalFormatting>
  <conditionalFormatting sqref="D28:F28">
    <cfRule type="expression" dxfId="58" priority="34">
      <formula>$X$28=1</formula>
    </cfRule>
  </conditionalFormatting>
  <conditionalFormatting sqref="D29:F29">
    <cfRule type="expression" dxfId="57" priority="33">
      <formula>$X$29=1</formula>
    </cfRule>
  </conditionalFormatting>
  <conditionalFormatting sqref="D30:F30">
    <cfRule type="expression" dxfId="56" priority="32">
      <formula>$X$30=1</formula>
    </cfRule>
  </conditionalFormatting>
  <conditionalFormatting sqref="D31:F31">
    <cfRule type="expression" dxfId="55" priority="31">
      <formula>$X$31=1</formula>
    </cfRule>
  </conditionalFormatting>
  <conditionalFormatting sqref="E15">
    <cfRule type="cellIs" dxfId="54" priority="1" operator="lessThan">
      <formula>0</formula>
    </cfRule>
  </conditionalFormatting>
  <conditionalFormatting sqref="E27">
    <cfRule type="expression" dxfId="53" priority="35" stopIfTrue="1">
      <formula>$X$27=1</formula>
    </cfRule>
  </conditionalFormatting>
  <conditionalFormatting sqref="E75:E78 E80:E83 E85:E91 E93:E94">
    <cfRule type="containsText" dxfId="52" priority="39" operator="containsText" text="No">
      <formula>NOT(ISERROR(SEARCH("No",E75)))</formula>
    </cfRule>
  </conditionalFormatting>
  <conditionalFormatting sqref="F27">
    <cfRule type="expression" dxfId="51" priority="36">
      <formula>$X$27=1</formula>
    </cfRule>
  </conditionalFormatting>
  <conditionalFormatting sqref="H59">
    <cfRule type="expression" dxfId="50" priority="13">
      <formula>H59=$W$59</formula>
    </cfRule>
  </conditionalFormatting>
  <conditionalFormatting sqref="H60">
    <cfRule type="expression" dxfId="49" priority="30">
      <formula>H59&lt;B59</formula>
    </cfRule>
  </conditionalFormatting>
  <conditionalFormatting sqref="H61">
    <cfRule type="expression" dxfId="48" priority="12">
      <formula>H61=$W$59</formula>
    </cfRule>
  </conditionalFormatting>
  <conditionalFormatting sqref="H62">
    <cfRule type="expression" dxfId="47" priority="29">
      <formula>H61&lt;B61</formula>
    </cfRule>
  </conditionalFormatting>
  <conditionalFormatting sqref="H63">
    <cfRule type="expression" dxfId="46" priority="11">
      <formula>H63=$W$59</formula>
    </cfRule>
  </conditionalFormatting>
  <conditionalFormatting sqref="H64">
    <cfRule type="expression" dxfId="45" priority="28">
      <formula>H63&lt;B63</formula>
    </cfRule>
  </conditionalFormatting>
  <conditionalFormatting sqref="H65">
    <cfRule type="expression" dxfId="44" priority="10">
      <formula>H65=$W$59</formula>
    </cfRule>
  </conditionalFormatting>
  <conditionalFormatting sqref="H66">
    <cfRule type="expression" dxfId="43" priority="27">
      <formula>H65&lt;B65</formula>
    </cfRule>
  </conditionalFormatting>
  <conditionalFormatting sqref="H67">
    <cfRule type="expression" dxfId="42" priority="9">
      <formula>H67=$W$59</formula>
    </cfRule>
  </conditionalFormatting>
  <conditionalFormatting sqref="H68">
    <cfRule type="expression" dxfId="41" priority="26">
      <formula>H67&lt;B67</formula>
    </cfRule>
  </conditionalFormatting>
  <conditionalFormatting sqref="H69">
    <cfRule type="expression" dxfId="40" priority="8">
      <formula>H69=$W$59</formula>
    </cfRule>
  </conditionalFormatting>
  <conditionalFormatting sqref="H70">
    <cfRule type="expression" dxfId="39" priority="14">
      <formula>H69&lt;B69</formula>
    </cfRule>
  </conditionalFormatting>
  <conditionalFormatting sqref="H48:I49">
    <cfRule type="expression" dxfId="38" priority="41">
      <formula>$I$48&lt;&gt;""</formula>
    </cfRule>
  </conditionalFormatting>
  <conditionalFormatting sqref="J26:K31">
    <cfRule type="expression" dxfId="37" priority="6">
      <formula>$D26&gt;0</formula>
    </cfRule>
  </conditionalFormatting>
  <dataValidations count="16">
    <dataValidation allowBlank="1" showInputMessage="1" showErrorMessage="1" promptTitle="Intl. Entity EFC" prompt="For C&amp;Y and Doc., the ELF and EDA must be at least 75% of Threshold. Also see note (2)" sqref="I48" xr:uid="{47648969-B48E-41E6-9AA7-6B76F14EF5AF}"/>
    <dataValidation type="list" allowBlank="1" showInputMessage="1" showErrorMessage="1" sqref="J26:J31" xr:uid="{EA44F9A1-5E68-4D9C-95E2-9CD97CD01637}">
      <formula1>$I$81:$I$83</formula1>
    </dataValidation>
    <dataValidation type="list" allowBlank="1" showInputMessage="1" showErrorMessage="1" sqref="K26:K31" xr:uid="{3317CEF4-7545-41F4-9317-A7B82981BB6E}">
      <formula1>$I$84:$I$86</formula1>
    </dataValidation>
    <dataValidation type="date" allowBlank="1" showInputMessage="1" showErrorMessage="1" promptTitle="Date" prompt="ex. Y-M-D" sqref="G26:G31" xr:uid="{116A97E3-1B7C-402C-AAAB-A13EF8FD37B5}">
      <formula1>36526</formula1>
      <formula2>401749</formula2>
    </dataValidation>
    <dataValidation type="decimal" allowBlank="1" showErrorMessage="1" errorTitle="Not a number" error="Enter the Envelope Contribution for this licence" sqref="C31 C28:C29" xr:uid="{3E20E59C-9E07-4148-A371-A16356E5F0E3}">
      <formula1>0</formula1>
      <formula2>999999999999999</formula2>
    </dataValidation>
    <dataValidation type="whole" allowBlank="1" showInputMessage="1" showErrorMessage="1" promptTitle="# of months" prompt="Enter the licence term in months. Equations are allowable (i.e. =6*12)" sqref="I26:I31" xr:uid="{33C3F5F3-787E-449B-9974-9888BEE9EDD9}">
      <formula1>1</formula1>
      <formula2>999</formula2>
    </dataValidation>
    <dataValidation type="whole" allowBlank="1" showInputMessage="1" showErrorMessage="1" errorTitle="Not a number" error="Enter the Envelope Contribution for this licence" sqref="E40:E46" xr:uid="{A71BCC76-6A2D-4AB6-A42E-1EE762FEC9B8}">
      <formula1>0</formula1>
      <formula2>999999999999999</formula2>
    </dataValidation>
    <dataValidation allowBlank="1" showInputMessage="1" showErrorMessage="1" promptTitle="# of Months" prompt="Enter adjusted exclusivity in &quot;number of months&quot;." sqref="W40:W45" xr:uid="{5CFB4681-4A9C-4240-8D96-8693BF461063}"/>
    <dataValidation type="whole" allowBlank="1" showInputMessage="1" showErrorMessage="1" sqref="V26:V31" xr:uid="{1D302FFA-CC0F-4245-BAF1-7F9831053E28}">
      <formula1>0</formula1>
      <formula2>999</formula2>
    </dataValidation>
    <dataValidation type="list" allowBlank="1" showInputMessage="1" showErrorMessage="1" sqref="E9" xr:uid="{BD5D8145-B73B-4A20-9409-BDB48AAD8F54}">
      <formula1>#REF!</formula1>
    </dataValidation>
    <dataValidation type="list" allowBlank="1" showInputMessage="1" showErrorMessage="1" sqref="E10" xr:uid="{5B62DE53-A155-48F6-9F60-8409052C3A73}">
      <formula1>$I$85:$I$87</formula1>
    </dataValidation>
    <dataValidation type="list" allowBlank="1" showInputMessage="1" showErrorMessage="1" sqref="E8" xr:uid="{08B14C96-AA98-48F2-8B3B-89BB2B45B98E}">
      <formula1>$I$88:$I$90</formula1>
    </dataValidation>
    <dataValidation type="decimal" allowBlank="1" showInputMessage="1" showErrorMessage="1" errorTitle="Not a number" error="Enter the Envelope Contribution for this licence" sqref="C26:C27" xr:uid="{B2B3158F-4D3D-4AF2-9B93-AAF8B47CDE75}">
      <formula1>0</formula1>
      <formula2>999999999999999</formula2>
    </dataValidation>
    <dataValidation allowBlank="1" showInputMessage="1" showErrorMessage="1" prompt="Please enter first the broadcasters and distributors, see note (1) here-above" sqref="F26" xr:uid="{40D26885-D751-4D1A-9CDB-BC1B1E1250D4}"/>
    <dataValidation allowBlank="1" showInputMessage="1" showErrorMessage="1" promptTitle="Intl. Entity MMC" prompt="For C&amp;Y the ELF and MMC must be at least 75% of Threshold. Also see note (3)." sqref="I49" xr:uid="{FB6F5EEC-CFE6-4FC1-8B93-89694B0976FD}"/>
    <dataValidation type="custom" showInputMessage="1" showErrorMessage="1" error="Please do not delete" sqref="A73 I73" xr:uid="{4793F639-8850-4E99-B8A9-5C28E522A579}">
      <formula1>""</formula1>
    </dataValidation>
  </dataValidations>
  <printOptions horizontalCentered="1"/>
  <pageMargins left="0.6692913385826772" right="0.6692913385826772" top="0.59055118110236227" bottom="0.6692913385826772" header="0.51181102362204722" footer="0.51181102362204722"/>
  <pageSetup scale="64" orientation="landscape" r:id="rId1"/>
  <headerFooter alignWithMargins="0"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locked="0" defaultSize="0" autoLine="0" autoPict="0">
                <anchor moveWithCells="1">
                  <from>
                    <xdr:col>2</xdr:col>
                    <xdr:colOff>83820</xdr:colOff>
                    <xdr:row>16</xdr:row>
                    <xdr:rowOff>38100</xdr:rowOff>
                  </from>
                  <to>
                    <xdr:col>6</xdr:col>
                    <xdr:colOff>403860</xdr:colOff>
                    <xdr:row>16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locked="0" defaultSize="0" autoLine="0" autoPict="0">
                <anchor moveWithCells="1">
                  <from>
                    <xdr:col>1</xdr:col>
                    <xdr:colOff>1135380</xdr:colOff>
                    <xdr:row>10</xdr:row>
                    <xdr:rowOff>38100</xdr:rowOff>
                  </from>
                  <to>
                    <xdr:col>3</xdr:col>
                    <xdr:colOff>975360</xdr:colOff>
                    <xdr:row>10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712B3-950B-4587-A679-E29DA5E319F0}">
  <sheetPr>
    <tabColor rgb="FF00B0F0"/>
  </sheetPr>
  <dimension ref="A1:AR232"/>
  <sheetViews>
    <sheetView zoomScaleNormal="100" zoomScaleSheetLayoutView="100" workbookViewId="0">
      <selection activeCell="B2" sqref="B2:E2"/>
    </sheetView>
  </sheetViews>
  <sheetFormatPr baseColWidth="10" defaultColWidth="8.90625" defaultRowHeight="13.8" x14ac:dyDescent="0.3"/>
  <cols>
    <col min="1" max="1" width="13.81640625" style="74" customWidth="1"/>
    <col min="2" max="2" width="18.81640625" style="278" customWidth="1"/>
    <col min="3" max="8" width="13.81640625" style="74" customWidth="1"/>
    <col min="9" max="11" width="12.81640625" style="74" customWidth="1"/>
    <col min="12" max="12" width="14" style="74" customWidth="1"/>
    <col min="13" max="21" width="1.6328125" style="74" hidden="1" customWidth="1"/>
    <col min="22" max="26" width="8.90625" style="74" hidden="1" customWidth="1"/>
    <col min="27" max="42" width="8.90625" style="74"/>
    <col min="43" max="16384" width="8.90625" style="267"/>
  </cols>
  <sheetData>
    <row r="1" spans="1:44" ht="77.25" customHeight="1" thickBot="1" x14ac:dyDescent="0.35">
      <c r="A1" s="82"/>
      <c r="B1" s="25"/>
      <c r="C1" s="579" t="s">
        <v>256</v>
      </c>
      <c r="D1" s="579"/>
      <c r="E1" s="579"/>
      <c r="F1" s="579"/>
      <c r="G1" s="579"/>
      <c r="H1" s="579"/>
      <c r="I1" s="579"/>
      <c r="J1" s="579"/>
      <c r="K1" s="579"/>
      <c r="L1" s="26"/>
      <c r="M1" s="26"/>
      <c r="N1" s="26"/>
      <c r="O1" s="26"/>
      <c r="P1" s="26"/>
      <c r="Q1" s="25"/>
      <c r="R1" s="24"/>
    </row>
    <row r="2" spans="1:44" s="269" customFormat="1" ht="32.1" customHeight="1" thickBot="1" x14ac:dyDescent="0.3">
      <c r="A2" s="81" t="s">
        <v>107</v>
      </c>
      <c r="B2" s="590"/>
      <c r="C2" s="591"/>
      <c r="D2" s="591"/>
      <c r="E2" s="592"/>
      <c r="F2" s="80" t="s">
        <v>108</v>
      </c>
      <c r="G2" s="590"/>
      <c r="H2" s="593"/>
      <c r="I2" s="80" t="s">
        <v>109</v>
      </c>
      <c r="J2" s="594"/>
      <c r="K2" s="593"/>
      <c r="L2" s="26"/>
      <c r="M2" s="26"/>
      <c r="N2" s="26"/>
      <c r="O2" s="26"/>
      <c r="P2" s="26"/>
      <c r="Q2" s="26"/>
      <c r="R2" s="26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</row>
    <row r="3" spans="1:44" s="269" customFormat="1" ht="24.75" customHeight="1" x14ac:dyDescent="0.25">
      <c r="A3" s="79" t="s">
        <v>110</v>
      </c>
      <c r="B3" s="29"/>
      <c r="C3" s="77"/>
      <c r="D3" s="55"/>
      <c r="E3" s="33"/>
      <c r="F3" s="33"/>
      <c r="G3" s="78"/>
      <c r="H3" s="33"/>
      <c r="I3" s="33"/>
      <c r="J3" s="46"/>
      <c r="K3" s="46"/>
      <c r="L3" s="26"/>
      <c r="M3" s="26"/>
      <c r="N3" s="26"/>
      <c r="O3" s="26"/>
      <c r="P3" s="26"/>
      <c r="Q3" s="26"/>
      <c r="R3" s="26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</row>
    <row r="4" spans="1:44" s="74" customFormat="1" ht="30" customHeight="1" x14ac:dyDescent="0.3">
      <c r="A4" s="76"/>
      <c r="B4" s="76" t="s">
        <v>38</v>
      </c>
      <c r="C4" s="595" t="s">
        <v>111</v>
      </c>
      <c r="D4" s="596"/>
      <c r="E4" s="138"/>
      <c r="F4" s="75" t="s">
        <v>112</v>
      </c>
      <c r="G4" s="139"/>
      <c r="H4" s="87" t="s">
        <v>113</v>
      </c>
      <c r="I4" s="139"/>
      <c r="J4" s="75" t="s">
        <v>114</v>
      </c>
      <c r="K4" s="18">
        <f>(G4*I4)/60</f>
        <v>0</v>
      </c>
      <c r="M4" s="24"/>
      <c r="N4" s="24"/>
      <c r="O4" s="24"/>
      <c r="P4" s="77"/>
      <c r="Q4" s="26"/>
      <c r="R4" s="26"/>
      <c r="S4" s="268"/>
      <c r="T4" s="268"/>
      <c r="U4" s="268"/>
      <c r="V4" s="268"/>
      <c r="W4" s="270"/>
      <c r="X4" s="270"/>
      <c r="Z4" s="271"/>
    </row>
    <row r="5" spans="1:44" s="67" customFormat="1" x14ac:dyDescent="0.25">
      <c r="A5" s="28"/>
      <c r="B5" s="28"/>
      <c r="C5" s="68"/>
      <c r="D5" s="70"/>
      <c r="E5" s="70"/>
      <c r="F5" s="70"/>
      <c r="G5" s="69"/>
      <c r="H5" s="69"/>
      <c r="I5" s="69"/>
      <c r="J5" s="69"/>
      <c r="K5" s="69"/>
      <c r="L5" s="28"/>
      <c r="M5" s="28"/>
      <c r="N5" s="28"/>
      <c r="O5" s="26"/>
      <c r="P5" s="26"/>
      <c r="Q5" s="26"/>
      <c r="R5" s="26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</row>
    <row r="6" spans="1:44" s="67" customFormat="1" ht="30" customHeight="1" x14ac:dyDescent="0.25">
      <c r="A6" s="28"/>
      <c r="B6" s="28"/>
      <c r="C6" s="28"/>
      <c r="D6" s="70"/>
      <c r="E6" s="70"/>
      <c r="F6" s="73"/>
      <c r="G6" s="28"/>
      <c r="H6" s="28"/>
      <c r="I6" s="28"/>
      <c r="J6" s="72" t="s">
        <v>115</v>
      </c>
      <c r="K6" s="71">
        <f>IF(K4=0,0,$E$4/$K$4)</f>
        <v>0</v>
      </c>
      <c r="L6" s="28"/>
      <c r="M6" s="28"/>
      <c r="N6" s="28"/>
      <c r="O6" s="26"/>
      <c r="P6" s="26"/>
      <c r="Q6" s="26"/>
      <c r="R6" s="26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</row>
    <row r="7" spans="1:44" s="67" customFormat="1" x14ac:dyDescent="0.25">
      <c r="A7" s="28"/>
      <c r="B7" s="28"/>
      <c r="C7" s="68"/>
      <c r="D7" s="70"/>
      <c r="E7" s="70"/>
      <c r="F7" s="70"/>
      <c r="G7" s="69"/>
      <c r="H7" s="69"/>
      <c r="I7" s="69"/>
      <c r="J7" s="69"/>
      <c r="K7" s="69"/>
      <c r="L7" s="28"/>
      <c r="M7" s="28"/>
      <c r="N7" s="28"/>
      <c r="O7" s="26"/>
      <c r="P7" s="26"/>
      <c r="Q7" s="26"/>
      <c r="R7" s="26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</row>
    <row r="8" spans="1:44" s="67" customFormat="1" ht="30.6" customHeight="1" x14ac:dyDescent="0.25">
      <c r="A8" s="28"/>
      <c r="B8" s="28"/>
      <c r="C8" s="605" t="s">
        <v>262</v>
      </c>
      <c r="D8" s="606"/>
      <c r="E8" s="60"/>
      <c r="F8" s="15">
        <f>IF(E8="Oui",60%,49%)</f>
        <v>0.49</v>
      </c>
      <c r="G8" s="114"/>
      <c r="H8" s="69"/>
      <c r="I8" s="599" t="s">
        <v>117</v>
      </c>
      <c r="J8" s="600"/>
      <c r="K8" s="140" t="str">
        <f>IF(OR(A73&lt;2,A73=21,N(E$4)=0,K$6=0),"",IF(AND(AND(A73&gt;15,A73&lt;21),K6&gt;=800000),"Oui",IF(AND(OR(A73&lt;5,AND(A73&gt;11,A73&lt;16)),K6&gt;=750000),"Oui",IF(AND(AND(A73&gt;6,A73&lt;12),K6&gt;=400000),"Oui","Non"))))</f>
        <v/>
      </c>
      <c r="L8" s="28" t="str">
        <f>IFERROR(IF(K8="Oui","S/O pour les productions d’animation",""),"")</f>
        <v/>
      </c>
      <c r="M8" s="28"/>
      <c r="N8" s="28"/>
      <c r="O8" s="26"/>
      <c r="P8" s="26"/>
      <c r="Q8" s="26"/>
      <c r="R8" s="26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</row>
    <row r="9" spans="1:44" s="67" customFormat="1" hidden="1" x14ac:dyDescent="0.25">
      <c r="A9" s="28"/>
      <c r="B9" s="28"/>
      <c r="C9" s="68"/>
      <c r="D9" s="70"/>
      <c r="E9" s="70"/>
      <c r="F9" s="70"/>
      <c r="G9" s="69"/>
      <c r="H9" s="69"/>
      <c r="I9" s="69"/>
      <c r="J9" s="69"/>
      <c r="K9" s="69"/>
      <c r="L9" s="28"/>
      <c r="M9" s="28"/>
      <c r="N9" s="28"/>
      <c r="O9" s="26"/>
      <c r="P9" s="26"/>
      <c r="Q9" s="26"/>
      <c r="R9" s="26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</row>
    <row r="10" spans="1:44" s="67" customFormat="1" ht="30" customHeight="1" x14ac:dyDescent="0.25">
      <c r="A10" s="28"/>
      <c r="B10" s="28"/>
      <c r="C10" s="597" t="s">
        <v>116</v>
      </c>
      <c r="D10" s="598"/>
      <c r="E10" s="23"/>
      <c r="F10" s="69"/>
      <c r="G10" s="69"/>
      <c r="H10" s="69"/>
      <c r="I10" s="601" t="s">
        <v>118</v>
      </c>
      <c r="J10" s="602"/>
      <c r="K10" s="18" t="str">
        <f>IF(N(E$4)=0,"",IF(E$4&gt;500000,"Oui","Non"))</f>
        <v/>
      </c>
      <c r="L10" s="141" t="str">
        <f>IFERROR(IF(K10="Oui","S/O pour les productions tournées en direct",""),"")</f>
        <v/>
      </c>
      <c r="M10" s="28"/>
      <c r="N10" s="28"/>
      <c r="O10" s="26"/>
      <c r="P10" s="26"/>
      <c r="Q10" s="26"/>
      <c r="R10" s="26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</row>
    <row r="11" spans="1:44" s="67" customFormat="1" ht="30" customHeight="1" x14ac:dyDescent="0.25">
      <c r="A11" s="28"/>
      <c r="B11" s="28"/>
      <c r="C11" s="13"/>
      <c r="D11" s="13"/>
      <c r="E11" s="116"/>
      <c r="F11" s="69"/>
      <c r="G11" s="69"/>
      <c r="H11" s="69"/>
      <c r="L11" s="141"/>
      <c r="M11" s="28"/>
      <c r="N11" s="28"/>
      <c r="O11" s="26"/>
      <c r="P11" s="26"/>
      <c r="Q11" s="26"/>
      <c r="R11" s="26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</row>
    <row r="12" spans="1:44" s="91" customFormat="1" ht="15.6" hidden="1" x14ac:dyDescent="0.25">
      <c r="A12" s="9"/>
      <c r="F12" s="13"/>
      <c r="H12" s="13"/>
      <c r="I12" s="2"/>
      <c r="J12" s="2"/>
      <c r="K12" s="2"/>
      <c r="L12" s="2"/>
      <c r="M12"/>
      <c r="N12"/>
      <c r="O12" s="2"/>
      <c r="P12" s="2"/>
      <c r="Q12" s="14"/>
      <c r="R12" s="14"/>
      <c r="S12" s="249"/>
      <c r="T12" s="250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</row>
    <row r="13" spans="1:44" s="91" customFormat="1" ht="30" customHeight="1" x14ac:dyDescent="0.25">
      <c r="A13" s="9"/>
      <c r="B13" s="574" t="s">
        <v>265</v>
      </c>
      <c r="C13" s="575"/>
      <c r="D13" s="575"/>
      <c r="E13" s="116"/>
      <c r="F13"/>
      <c r="G13"/>
      <c r="H13"/>
      <c r="K13" s="141"/>
      <c r="L13" s="141"/>
      <c r="M13"/>
      <c r="N13"/>
      <c r="O13" s="2"/>
      <c r="P13" s="2"/>
      <c r="Q13" s="14"/>
      <c r="R13" s="14"/>
      <c r="S13" s="249"/>
      <c r="T13" s="250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</row>
    <row r="14" spans="1:44" s="91" customFormat="1" ht="30" customHeight="1" x14ac:dyDescent="0.25">
      <c r="A14" s="9"/>
      <c r="B14" s="574" t="s">
        <v>261</v>
      </c>
      <c r="C14" s="575"/>
      <c r="D14" s="575"/>
      <c r="E14" s="196" t="str">
        <f>IF(AND(K$73=2,$E$4&gt;0),MIN(ROUND(2%*$E$4,0),10000),"")</f>
        <v/>
      </c>
      <c r="K14" s="141"/>
      <c r="L14" s="141"/>
      <c r="M14"/>
      <c r="N14"/>
      <c r="O14" s="2"/>
      <c r="P14" s="2"/>
      <c r="Q14" s="14"/>
      <c r="R14" s="14"/>
      <c r="S14" s="249"/>
      <c r="T14" s="250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</row>
    <row r="15" spans="1:44" s="91" customFormat="1" ht="30" customHeight="1" x14ac:dyDescent="0.25">
      <c r="A15" s="9"/>
      <c r="B15" s="574" t="s">
        <v>267</v>
      </c>
      <c r="C15" s="575"/>
      <c r="D15" s="575"/>
      <c r="E15" s="196" t="str">
        <f>IF(E$14="","",E13-E14)</f>
        <v/>
      </c>
      <c r="K15" s="141"/>
      <c r="L15" s="141"/>
      <c r="M15"/>
      <c r="N15"/>
      <c r="O15" s="2"/>
      <c r="P15" s="2"/>
      <c r="Q15" s="14"/>
      <c r="R15" s="14"/>
      <c r="S15" s="249"/>
      <c r="T15" s="250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517"/>
      <c r="AF15" s="249"/>
      <c r="AG15" s="249"/>
      <c r="AH15" s="249"/>
      <c r="AI15" s="249"/>
      <c r="AJ15" s="249"/>
      <c r="AK15" s="249"/>
    </row>
    <row r="16" spans="1:44" s="67" customFormat="1" ht="13.8" customHeight="1" x14ac:dyDescent="0.25">
      <c r="A16" s="28"/>
      <c r="B16" s="28"/>
      <c r="C16" s="68"/>
      <c r="D16" s="70"/>
      <c r="E16" s="70"/>
      <c r="F16" s="70"/>
      <c r="G16" s="69"/>
      <c r="H16" s="69"/>
      <c r="I16" s="69"/>
      <c r="J16" s="69"/>
      <c r="K16" s="69"/>
      <c r="L16" s="28"/>
      <c r="M16" s="28"/>
      <c r="N16" s="28"/>
      <c r="O16" s="26"/>
      <c r="P16" s="26"/>
      <c r="Q16" s="26"/>
      <c r="R16" s="26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</row>
    <row r="17" spans="1:44" s="67" customFormat="1" ht="25.2" customHeight="1" x14ac:dyDescent="0.25">
      <c r="A17" s="599" t="s">
        <v>119</v>
      </c>
      <c r="B17" s="600"/>
      <c r="C17" s="28"/>
      <c r="D17" s="68"/>
      <c r="E17" s="68"/>
      <c r="F17" s="68"/>
      <c r="G17" s="53"/>
      <c r="H17" s="28"/>
      <c r="I17" s="69"/>
      <c r="J17" s="69"/>
      <c r="K17" s="69"/>
      <c r="L17" s="107"/>
      <c r="M17" s="28"/>
      <c r="N17" s="28"/>
      <c r="O17" s="26"/>
      <c r="P17" s="26"/>
      <c r="Q17" s="26"/>
      <c r="R17" s="26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</row>
    <row r="18" spans="1:44" ht="18" customHeight="1" x14ac:dyDescent="0.3">
      <c r="A18" s="519"/>
      <c r="B18" s="520"/>
      <c r="C18" s="519" t="s">
        <v>259</v>
      </c>
      <c r="D18" s="521"/>
      <c r="E18" s="521"/>
      <c r="F18" s="521"/>
      <c r="G18" s="522"/>
      <c r="H18" s="522"/>
      <c r="I18" s="522"/>
      <c r="J18" s="522"/>
      <c r="K18" s="522"/>
      <c r="L18" s="520"/>
      <c r="M18" s="520"/>
      <c r="N18" s="520"/>
      <c r="O18" s="24"/>
      <c r="P18" s="24"/>
      <c r="Q18" s="24"/>
      <c r="R18" s="24"/>
      <c r="AQ18" s="74"/>
      <c r="AR18" s="74"/>
    </row>
    <row r="19" spans="1:44" s="67" customFormat="1" x14ac:dyDescent="0.25">
      <c r="B19" s="28"/>
      <c r="C19" s="68"/>
      <c r="D19" s="70"/>
      <c r="E19" s="70"/>
      <c r="F19" s="70"/>
      <c r="G19" s="69"/>
      <c r="H19" s="69"/>
      <c r="I19" s="69"/>
      <c r="J19" s="69"/>
      <c r="K19" s="69"/>
      <c r="L19" s="28"/>
      <c r="M19" s="28"/>
      <c r="N19" s="28"/>
      <c r="O19" s="26"/>
      <c r="P19" s="26"/>
      <c r="Q19" s="26"/>
      <c r="R19" s="26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</row>
    <row r="20" spans="1:44" s="67" customFormat="1" x14ac:dyDescent="0.25">
      <c r="A20" s="501" t="s">
        <v>260</v>
      </c>
      <c r="B20" s="28"/>
      <c r="C20" s="68"/>
      <c r="D20" s="70"/>
      <c r="E20" s="70"/>
      <c r="F20" s="70"/>
      <c r="G20" s="69"/>
      <c r="H20" s="69"/>
      <c r="I20" s="69"/>
      <c r="J20" s="69"/>
      <c r="K20" s="69"/>
      <c r="L20" s="28"/>
      <c r="M20" s="28"/>
      <c r="N20" s="28"/>
      <c r="O20" s="26"/>
      <c r="P20" s="26"/>
      <c r="Q20" s="26"/>
      <c r="R20" s="26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</row>
    <row r="21" spans="1:44" s="67" customFormat="1" x14ac:dyDescent="0.25">
      <c r="A21" s="501" t="s">
        <v>235</v>
      </c>
      <c r="B21" s="28"/>
      <c r="C21" s="68"/>
      <c r="D21" s="70"/>
      <c r="E21" s="70"/>
      <c r="F21" s="70"/>
      <c r="G21" s="69"/>
      <c r="H21" s="69"/>
      <c r="I21" s="69"/>
      <c r="J21" s="69"/>
      <c r="K21" s="69"/>
      <c r="L21" s="28"/>
      <c r="M21" s="28"/>
      <c r="N21" s="28"/>
      <c r="O21" s="26"/>
      <c r="P21" s="26"/>
      <c r="Q21" s="26"/>
      <c r="R21" s="26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</row>
    <row r="22" spans="1:44" s="67" customFormat="1" ht="18.75" customHeight="1" x14ac:dyDescent="0.25">
      <c r="A22" s="311" t="s">
        <v>252</v>
      </c>
      <c r="B22" s="28"/>
      <c r="C22" s="28"/>
      <c r="D22" s="47"/>
      <c r="E22" s="66"/>
      <c r="F22" s="66"/>
      <c r="G22" s="65"/>
      <c r="H22" s="28"/>
      <c r="I22"/>
      <c r="J22"/>
      <c r="K22"/>
      <c r="L22"/>
      <c r="M22" s="26"/>
      <c r="N22" s="26"/>
      <c r="O22" s="26"/>
      <c r="P22" s="26"/>
      <c r="Q22" s="26"/>
      <c r="R22" s="26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</row>
    <row r="23" spans="1:44" s="67" customFormat="1" ht="90" customHeight="1" x14ac:dyDescent="0.3">
      <c r="A23" s="603" t="s">
        <v>121</v>
      </c>
      <c r="B23" s="604"/>
      <c r="C23" s="312" t="s">
        <v>240</v>
      </c>
      <c r="D23" s="313" t="s">
        <v>237</v>
      </c>
      <c r="E23" s="313" t="s">
        <v>238</v>
      </c>
      <c r="F23" s="22" t="s">
        <v>220</v>
      </c>
      <c r="G23" s="108" t="s">
        <v>122</v>
      </c>
      <c r="H23" s="108" t="s">
        <v>123</v>
      </c>
      <c r="I23" s="32" t="s">
        <v>124</v>
      </c>
      <c r="J23" s="310" t="s">
        <v>222</v>
      </c>
      <c r="K23" s="310" t="s">
        <v>221</v>
      </c>
      <c r="L23" s="32" t="s">
        <v>126</v>
      </c>
      <c r="M23" s="26"/>
      <c r="N23" s="26"/>
      <c r="O23" s="26"/>
      <c r="P23" s="26"/>
      <c r="Q23" s="26"/>
      <c r="R23" s="26"/>
      <c r="S23" s="268"/>
      <c r="T23" s="268"/>
      <c r="U23" s="268"/>
      <c r="V23" s="62" t="s">
        <v>125</v>
      </c>
      <c r="W23" s="106" t="s">
        <v>120</v>
      </c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</row>
    <row r="24" spans="1:44" s="67" customFormat="1" ht="18" customHeight="1" x14ac:dyDescent="0.25">
      <c r="A24" s="289"/>
      <c r="B24" s="290"/>
      <c r="C24" s="299"/>
      <c r="D24" s="308"/>
      <c r="E24" s="302"/>
      <c r="F24" s="262"/>
      <c r="G24" s="302"/>
      <c r="H24" s="302"/>
      <c r="I24" s="302"/>
      <c r="J24" s="586" t="s">
        <v>248</v>
      </c>
      <c r="K24" s="587"/>
      <c r="L24" s="515"/>
      <c r="M24" s="28"/>
      <c r="N24" s="28"/>
      <c r="O24" s="26"/>
      <c r="P24" s="26"/>
      <c r="Q24" s="26"/>
      <c r="R24" s="26"/>
      <c r="S24" s="268"/>
      <c r="T24" s="268"/>
      <c r="U24" s="268"/>
      <c r="V24" s="2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</row>
    <row r="25" spans="1:44" s="67" customFormat="1" ht="18" customHeight="1" x14ac:dyDescent="0.25">
      <c r="A25" s="289"/>
      <c r="B25" s="290"/>
      <c r="C25" s="299"/>
      <c r="D25" s="304" t="str">
        <f>IF(SUM(X26:X31)&gt;0,Z26,"")</f>
        <v/>
      </c>
      <c r="E25" s="303"/>
      <c r="F25" s="305"/>
      <c r="G25" s="303"/>
      <c r="H25" s="303"/>
      <c r="I25" s="303"/>
      <c r="J25" s="588"/>
      <c r="K25" s="589"/>
      <c r="L25" s="516"/>
      <c r="M25" s="28"/>
      <c r="N25" s="28"/>
      <c r="O25" s="26"/>
      <c r="P25" s="26"/>
      <c r="Q25" s="26"/>
      <c r="R25" s="26"/>
      <c r="S25" s="268"/>
      <c r="T25" s="268"/>
      <c r="U25" s="268"/>
      <c r="V25" s="28"/>
      <c r="W25" s="268"/>
      <c r="X25" s="118" t="s">
        <v>197</v>
      </c>
      <c r="Y25" s="288"/>
      <c r="Z25" s="11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</row>
    <row r="26" spans="1:44" s="67" customFormat="1" ht="24.9" customHeight="1" x14ac:dyDescent="0.25">
      <c r="A26" s="40" t="s">
        <v>127</v>
      </c>
      <c r="B26" s="19"/>
      <c r="C26" s="137"/>
      <c r="D26" s="316"/>
      <c r="E26" s="316"/>
      <c r="F26" s="131"/>
      <c r="G26" s="136"/>
      <c r="H26" s="254">
        <f>DATE(YEAR(G26),(MONTH(G26)+I26),DAY(G26))</f>
        <v>0</v>
      </c>
      <c r="I26" s="59"/>
      <c r="J26" s="59"/>
      <c r="K26" s="60"/>
      <c r="L26" s="58"/>
      <c r="M26" s="26"/>
      <c r="N26" s="26"/>
      <c r="O26" s="26"/>
      <c r="P26" s="26"/>
      <c r="Q26" s="26"/>
      <c r="R26" s="26"/>
      <c r="S26" s="268"/>
      <c r="T26" s="268"/>
      <c r="U26" s="268"/>
      <c r="V26" s="58"/>
      <c r="W26" s="268"/>
      <c r="X26" s="291">
        <f>IF(OR(AND(D26&lt;&gt;"",E26&lt;&gt;"",F26&lt;&gt;""),AND(D26&lt;&gt;"",E26&lt;&gt;""),AND(D26&lt;&gt;"",F26&lt;&gt;""),AND(E26&lt;&gt;"",F26&lt;&gt;"")),1,0)</f>
        <v>0</v>
      </c>
      <c r="Y26" s="288"/>
      <c r="Z26" s="309" t="s">
        <v>253</v>
      </c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</row>
    <row r="27" spans="1:44" s="67" customFormat="1" ht="24.9" customHeight="1" x14ac:dyDescent="0.25">
      <c r="A27" s="40" t="s">
        <v>128</v>
      </c>
      <c r="B27" s="19"/>
      <c r="C27" s="137"/>
      <c r="D27" s="317"/>
      <c r="E27" s="316"/>
      <c r="F27" s="317"/>
      <c r="G27" s="136"/>
      <c r="H27" s="254">
        <f>DATE(YEAR(G27),(MONTH(G27)+I27),DAY(G27))</f>
        <v>0</v>
      </c>
      <c r="I27" s="59"/>
      <c r="J27" s="59"/>
      <c r="K27" s="60"/>
      <c r="L27" s="58"/>
      <c r="M27" s="26"/>
      <c r="N27" s="26"/>
      <c r="O27" s="26"/>
      <c r="P27" s="26"/>
      <c r="Q27" s="26"/>
      <c r="R27" s="26"/>
      <c r="S27" s="268"/>
      <c r="T27" s="268"/>
      <c r="U27" s="268"/>
      <c r="V27" s="58"/>
      <c r="W27" s="268"/>
      <c r="X27" s="291">
        <f>IF(OR(AND(D27&lt;&gt;"",E27&lt;&gt;"",F27&lt;&gt;""),AND(D27&lt;&gt;"",E27&lt;&gt;""),AND(D27&lt;&gt;"",F27&lt;&gt;""),AND(E27&lt;&gt;"",F27&lt;&gt;"")),1,0)</f>
        <v>0</v>
      </c>
      <c r="Y27" s="288"/>
      <c r="Z27" s="288" t="s">
        <v>219</v>
      </c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</row>
    <row r="28" spans="1:44" s="67" customFormat="1" ht="24.9" customHeight="1" x14ac:dyDescent="0.25">
      <c r="A28" s="40" t="s">
        <v>129</v>
      </c>
      <c r="B28" s="19"/>
      <c r="C28" s="137"/>
      <c r="D28" s="317"/>
      <c r="E28" s="317"/>
      <c r="F28" s="317"/>
      <c r="G28" s="136"/>
      <c r="H28" s="254">
        <f>DATE(YEAR(G28),(MONTH(G28)+I28),DAY(G28))</f>
        <v>0</v>
      </c>
      <c r="I28" s="59"/>
      <c r="J28" s="59"/>
      <c r="K28" s="60"/>
      <c r="L28" s="58"/>
      <c r="M28" s="26"/>
      <c r="N28" s="26"/>
      <c r="O28" s="26"/>
      <c r="P28" s="26"/>
      <c r="Q28" s="26"/>
      <c r="R28" s="26"/>
      <c r="S28" s="268"/>
      <c r="T28" s="268"/>
      <c r="U28" s="268"/>
      <c r="V28" s="58"/>
      <c r="W28" s="268"/>
      <c r="X28" s="291">
        <f>IF(OR(AND(D28&lt;&gt;"",E28&lt;&gt;"",F28&lt;&gt;""),AND(D28&lt;&gt;"",E28&lt;&gt;""),AND(D28&lt;&gt;"",F28&lt;&gt;""),AND(E28&lt;&gt;"",F28&lt;&gt;"")),1,0)</f>
        <v>0</v>
      </c>
      <c r="Y28" s="288"/>
      <c r="Z28" s="287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</row>
    <row r="29" spans="1:44" s="67" customFormat="1" ht="24.9" customHeight="1" x14ac:dyDescent="0.25">
      <c r="A29" s="40" t="s">
        <v>130</v>
      </c>
      <c r="B29" s="19"/>
      <c r="C29" s="137"/>
      <c r="D29" s="317"/>
      <c r="E29" s="317"/>
      <c r="F29" s="317"/>
      <c r="G29" s="136"/>
      <c r="H29" s="254">
        <f>DATE(YEAR(G29),(MONTH(G29)+I29),DAY(G29))</f>
        <v>0</v>
      </c>
      <c r="I29" s="59"/>
      <c r="J29" s="59"/>
      <c r="K29" s="60"/>
      <c r="L29" s="58"/>
      <c r="M29" s="26"/>
      <c r="N29" s="26"/>
      <c r="O29" s="26"/>
      <c r="P29" s="26"/>
      <c r="Q29" s="26"/>
      <c r="R29" s="26"/>
      <c r="S29" s="268"/>
      <c r="T29" s="268"/>
      <c r="U29" s="268"/>
      <c r="V29" s="58"/>
      <c r="W29" s="268"/>
      <c r="X29" s="291">
        <f>IF(OR(AND(D29&lt;&gt;"",E29&lt;&gt;"",F29&lt;&gt;""),AND(D29&lt;&gt;"",E29&lt;&gt;""),AND(D29&lt;&gt;"",F29&lt;&gt;""),AND(E29&lt;&gt;"",F29&lt;&gt;"")),1,0)</f>
        <v>0</v>
      </c>
      <c r="Y29" s="288"/>
      <c r="Z29" s="287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</row>
    <row r="30" spans="1:44" s="67" customFormat="1" ht="24.9" customHeight="1" x14ac:dyDescent="0.25">
      <c r="A30" s="40" t="s">
        <v>131</v>
      </c>
      <c r="B30" s="19"/>
      <c r="C30" s="137"/>
      <c r="D30" s="317"/>
      <c r="E30" s="317"/>
      <c r="F30" s="317"/>
      <c r="G30" s="136"/>
      <c r="H30" s="254">
        <f>DATE(YEAR(G30),(MONTH(G30)+I30),DAY(G30))</f>
        <v>0</v>
      </c>
      <c r="I30" s="59"/>
      <c r="J30" s="59"/>
      <c r="K30" s="60"/>
      <c r="L30" s="58"/>
      <c r="M30" s="26"/>
      <c r="N30" s="26"/>
      <c r="O30" s="26"/>
      <c r="P30" s="26"/>
      <c r="Q30" s="26"/>
      <c r="R30" s="26"/>
      <c r="S30" s="268"/>
      <c r="T30" s="268"/>
      <c r="U30" s="268"/>
      <c r="V30" s="58"/>
      <c r="W30" s="268"/>
      <c r="X30" s="291">
        <f>IF(OR(AND(D30&lt;&gt;"",E30&lt;&gt;"",F30&lt;&gt;""),AND(D30&lt;&gt;"",E30&lt;&gt;""),AND(D30&lt;&gt;"",F30&lt;&gt;""),AND(E30&lt;&gt;"",F30&lt;&gt;"")),1,0)</f>
        <v>0</v>
      </c>
      <c r="Y30" s="288"/>
      <c r="Z30" s="287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</row>
    <row r="31" spans="1:44" s="67" customFormat="1" ht="24.9" customHeight="1" thickBot="1" x14ac:dyDescent="0.3">
      <c r="A31" s="32" t="s">
        <v>132</v>
      </c>
      <c r="B31" s="61"/>
      <c r="C31" s="137"/>
      <c r="D31" s="317"/>
      <c r="E31" s="317"/>
      <c r="F31" s="317"/>
      <c r="G31" s="136"/>
      <c r="H31" s="254">
        <f t="shared" ref="H31" si="0">DATE(YEAR(G31),(MONTH(G31)+I31),DAY(G31))</f>
        <v>0</v>
      </c>
      <c r="I31" s="59"/>
      <c r="J31" s="59"/>
      <c r="K31" s="60"/>
      <c r="L31" s="58"/>
      <c r="M31" s="26"/>
      <c r="N31" s="26"/>
      <c r="O31" s="26"/>
      <c r="P31" s="26"/>
      <c r="Q31" s="26"/>
      <c r="R31" s="26"/>
      <c r="S31" s="268"/>
      <c r="T31" s="268"/>
      <c r="U31" s="268"/>
      <c r="V31" s="58"/>
      <c r="W31" s="268"/>
      <c r="X31" s="291">
        <f t="shared" ref="X31" si="1">IF(OR(AND(D31&lt;&gt;"",E31&lt;&gt;"",F31&lt;&gt;""),AND(D31&lt;&gt;"",E31&lt;&gt;""),AND(D31&lt;&gt;"",F31&lt;&gt;""),AND(E31&lt;&gt;"",F31&lt;&gt;"")),1,0)</f>
        <v>0</v>
      </c>
      <c r="Y31" s="288"/>
      <c r="Z31" s="287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</row>
    <row r="32" spans="1:44" s="272" customFormat="1" ht="18.75" customHeight="1" thickBot="1" x14ac:dyDescent="0.3">
      <c r="A32" s="57"/>
      <c r="B32" s="56" t="s">
        <v>133</v>
      </c>
      <c r="C32" s="142">
        <f>SUM(C26:C31)</f>
        <v>0</v>
      </c>
      <c r="D32" s="142">
        <f>SUM(D26:D31)</f>
        <v>0</v>
      </c>
      <c r="E32" s="142">
        <f>SUM(E26:E31)</f>
        <v>0</v>
      </c>
      <c r="F32" s="142">
        <f>SUM(F26:F31)</f>
        <v>0</v>
      </c>
      <c r="G32" s="28"/>
      <c r="H32" s="28"/>
      <c r="I32" s="28"/>
      <c r="J32" s="44"/>
      <c r="K32" s="44"/>
      <c r="M32" s="44"/>
      <c r="N32" s="44"/>
      <c r="O32" s="44"/>
      <c r="P32" s="44"/>
      <c r="Q32" s="44"/>
      <c r="R32" s="44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</row>
    <row r="33" spans="1:42" s="67" customFormat="1" ht="30" customHeight="1" thickBot="1" x14ac:dyDescent="0.3">
      <c r="A33" s="610" t="str">
        <f>IF(K73=1,K89,IF(K73=2,K90,"Mesure incitative"))</f>
        <v>Mesure incitative</v>
      </c>
      <c r="B33" s="611"/>
      <c r="C33" s="143">
        <f>E11</f>
        <v>0</v>
      </c>
      <c r="D33"/>
      <c r="F33" s="33"/>
      <c r="G33" s="28"/>
      <c r="H33" s="33"/>
      <c r="I33" s="33"/>
      <c r="J33" s="33"/>
      <c r="K33" s="33"/>
      <c r="L33" s="33"/>
      <c r="M33" s="26"/>
      <c r="N33" s="26"/>
      <c r="O33" s="26"/>
      <c r="P33" s="26"/>
      <c r="Q33" s="26"/>
      <c r="R33" s="26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</row>
    <row r="34" spans="1:42" s="67" customFormat="1" x14ac:dyDescent="0.25">
      <c r="A34" s="54"/>
      <c r="B34" s="47"/>
      <c r="C34" s="53"/>
      <c r="D34" s="28"/>
      <c r="E34" s="26"/>
      <c r="F34" s="26"/>
      <c r="G34" s="52"/>
      <c r="H34" s="28"/>
      <c r="I34" s="26"/>
      <c r="J34" s="28"/>
      <c r="K34" s="28"/>
      <c r="L34" s="28"/>
      <c r="M34" s="26"/>
      <c r="N34" s="26"/>
      <c r="O34" s="26"/>
      <c r="P34" s="26"/>
      <c r="Q34" s="26"/>
      <c r="R34" s="26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</row>
    <row r="35" spans="1:42" s="67" customFormat="1" ht="23.25" customHeight="1" x14ac:dyDescent="0.25">
      <c r="A35" s="618" t="s">
        <v>134</v>
      </c>
      <c r="B35" s="623"/>
      <c r="C35" s="624"/>
      <c r="D35" s="624"/>
      <c r="E35" s="624"/>
      <c r="F35" s="624"/>
      <c r="G35" s="624"/>
      <c r="H35" s="624"/>
      <c r="I35" s="624"/>
      <c r="J35" s="624"/>
      <c r="K35" s="624"/>
      <c r="L35" s="625"/>
      <c r="M35" s="33"/>
      <c r="N35" s="33"/>
      <c r="O35" s="33"/>
      <c r="P35" s="26"/>
      <c r="Q35" s="26"/>
      <c r="R35" s="26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</row>
    <row r="36" spans="1:42" s="67" customFormat="1" ht="23.25" customHeight="1" x14ac:dyDescent="0.25">
      <c r="A36" s="618"/>
      <c r="B36" s="626"/>
      <c r="C36" s="627"/>
      <c r="D36" s="627"/>
      <c r="E36" s="627"/>
      <c r="F36" s="627"/>
      <c r="G36" s="627"/>
      <c r="H36" s="627"/>
      <c r="I36" s="627"/>
      <c r="J36" s="627"/>
      <c r="K36" s="627"/>
      <c r="L36" s="628"/>
      <c r="M36" s="33"/>
      <c r="N36" s="33"/>
      <c r="O36" s="33"/>
      <c r="P36" s="26"/>
      <c r="Q36" s="26"/>
      <c r="R36" s="26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/>
      <c r="AN36" s="268"/>
      <c r="AO36" s="268"/>
    </row>
    <row r="37" spans="1:42" s="67" customFormat="1" ht="15.75" customHeight="1" x14ac:dyDescent="0.25">
      <c r="A37" s="5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26"/>
      <c r="N37" s="26"/>
      <c r="O37" s="26"/>
      <c r="P37" s="26"/>
      <c r="Q37" s="26"/>
      <c r="R37" s="26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</row>
    <row r="38" spans="1:42" s="273" customFormat="1" ht="21" customHeight="1" x14ac:dyDescent="0.3">
      <c r="A38" s="42" t="s">
        <v>246</v>
      </c>
      <c r="B38" s="50"/>
      <c r="C38" s="49"/>
      <c r="D38" s="49"/>
      <c r="E38" s="49"/>
      <c r="F38" s="49"/>
      <c r="G38" s="314"/>
      <c r="H38" s="314"/>
      <c r="I38" s="314"/>
      <c r="J38" s="49"/>
      <c r="K38" s="315"/>
      <c r="L38"/>
      <c r="M38" s="24"/>
      <c r="N38" s="24"/>
      <c r="O38" s="24"/>
      <c r="P38" s="24"/>
      <c r="Q38" s="24"/>
      <c r="R38" s="2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</row>
    <row r="39" spans="1:42" s="67" customFormat="1" ht="70.05" customHeight="1" x14ac:dyDescent="0.25">
      <c r="A39" s="603" t="s">
        <v>135</v>
      </c>
      <c r="B39" s="604"/>
      <c r="C39" s="525" t="str">
        <f>IF($D$32&gt;0,"Montant admissible du supplément de droits de diffusion",
IF(AND($D$32=0,$E$32&gt;0),"Montant admissible de la Contribution","Montant admissible du supplément de droits de diffusion/de la Contribution"))</f>
        <v>Montant admissible du supplément de droits de diffusion/de la Contribution</v>
      </c>
      <c r="D39" s="48" t="s">
        <v>136</v>
      </c>
      <c r="E39" s="99" t="s">
        <v>137</v>
      </c>
      <c r="F39" s="99" t="s">
        <v>138</v>
      </c>
      <c r="G39" s="313" t="s">
        <v>225</v>
      </c>
      <c r="H39" s="313" t="s">
        <v>226</v>
      </c>
      <c r="I39" s="22" t="s">
        <v>241</v>
      </c>
      <c r="J39" s="513" t="s">
        <v>250</v>
      </c>
      <c r="K39" s="282" t="s">
        <v>249</v>
      </c>
      <c r="L39" s="281" t="s">
        <v>139</v>
      </c>
      <c r="M39" s="28"/>
      <c r="N39" s="28"/>
      <c r="R39" s="26"/>
      <c r="S39" s="268"/>
      <c r="T39" s="246"/>
      <c r="U39" s="246"/>
      <c r="V39" s="108" t="s">
        <v>140</v>
      </c>
      <c r="W39" s="32" t="s">
        <v>141</v>
      </c>
      <c r="X39" s="32" t="s">
        <v>142</v>
      </c>
      <c r="Y39" s="246"/>
      <c r="Z39" s="246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</row>
    <row r="40" spans="1:42" s="67" customFormat="1" ht="14.25" customHeight="1" x14ac:dyDescent="0.25">
      <c r="A40" s="92" t="s">
        <v>127</v>
      </c>
      <c r="B40" s="144">
        <f>$B$26</f>
        <v>0</v>
      </c>
      <c r="C40" s="145">
        <f t="shared" ref="C40:C45" si="2">IF($C$46&gt;0,ROUND(E40/$E$46*$C$46,0),0)</f>
        <v>0</v>
      </c>
      <c r="D40" s="146">
        <f t="shared" ref="D40:D46" si="3">E40-C40</f>
        <v>0</v>
      </c>
      <c r="E40" s="147">
        <f t="shared" ref="E40:E45" si="4">IF($E$46=0,0,ROUND((C26/$C$32)*E$46,0))</f>
        <v>0</v>
      </c>
      <c r="F40" s="148" t="str">
        <f>IF($E$4=0,"",E40/$E$4)</f>
        <v/>
      </c>
      <c r="G40" s="146">
        <f>IF($E$4=0,0,
IF(AND($D26&lt;&gt;"",$X26=0,$H59&lt;&gt;"S/O"),$H59,0))</f>
        <v>0</v>
      </c>
      <c r="H40" s="146">
        <f>IF(OR($E$4=0,$B60="Information manquante"),0,
IF(AND($E26&lt;&gt;"",$X26=0,$H59&lt;&gt;"S/O"),$H59,
IF(AND($E26&lt;&gt;"",$X26=0,$H59="S/O"),$E26,0)))</f>
        <v>0</v>
      </c>
      <c r="I40" s="146" t="s">
        <v>143</v>
      </c>
      <c r="J40" s="146">
        <f t="shared" ref="J40:J45" si="5">N(G40)+N(H40)+N(I40)</f>
        <v>0</v>
      </c>
      <c r="K40" s="503" t="str">
        <f t="shared" ref="K40:K45" si="6">IF(E$4=0,"",J40/E$4)</f>
        <v/>
      </c>
      <c r="L40" s="146">
        <f>IF(X26=1,0,
N(D26)+N(E26)+N(F26)-J40)</f>
        <v>0</v>
      </c>
      <c r="M40" s="28"/>
      <c r="N40" s="28"/>
      <c r="R40" s="26"/>
      <c r="S40" s="268"/>
      <c r="T40" s="246"/>
      <c r="U40" s="246"/>
      <c r="V40" s="109">
        <f>IF($J73=4,IF(I26&lt;60,I26,60),IF(I26&lt;72,I26,72))</f>
        <v>0</v>
      </c>
      <c r="W40" s="110"/>
      <c r="X40" s="111" t="s">
        <v>143</v>
      </c>
      <c r="Y40" s="246"/>
      <c r="Z40" s="246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  <c r="AM40" s="268"/>
      <c r="AN40" s="268"/>
      <c r="AO40" s="268"/>
      <c r="AP40" s="268"/>
    </row>
    <row r="41" spans="1:42" s="67" customFormat="1" ht="14.25" customHeight="1" x14ac:dyDescent="0.25">
      <c r="A41" s="93" t="s">
        <v>128</v>
      </c>
      <c r="B41" s="150">
        <f>$B$27</f>
        <v>0</v>
      </c>
      <c r="C41" s="145">
        <f t="shared" si="2"/>
        <v>0</v>
      </c>
      <c r="D41" s="146">
        <f t="shared" si="3"/>
        <v>0</v>
      </c>
      <c r="E41" s="147">
        <f t="shared" si="4"/>
        <v>0</v>
      </c>
      <c r="F41" s="148" t="str">
        <f t="shared" ref="F41:F45" si="7">IF($E$4=0,"",E41/$E$4)</f>
        <v/>
      </c>
      <c r="G41" s="146">
        <f>IF($E$4=0,0,
IF(AND($D27&lt;&gt;"",$X27=0,$H61&lt;&gt;"S/O"),$H61,0))</f>
        <v>0</v>
      </c>
      <c r="H41" s="146">
        <f>IF(OR($E$4=0,$B62="Information manquante"),0,
IF(AND($E27&lt;&gt;"",$X27=0,$H61&lt;&gt;"S/O"),$H61,
IF(AND($E27&lt;&gt;"",$X27=0,$H61="S/O"),$E27,0)))</f>
        <v>0</v>
      </c>
      <c r="I41" s="146">
        <f>IF($I$46&gt;0,MIN(F27,(F27/$F$32)*I$46),0)</f>
        <v>0</v>
      </c>
      <c r="J41" s="146">
        <f t="shared" si="5"/>
        <v>0</v>
      </c>
      <c r="K41" s="148" t="str">
        <f t="shared" si="6"/>
        <v/>
      </c>
      <c r="L41" s="146">
        <f>IF(X27=1,0,
N(D27)+N(E27)+N(F27)-J41)</f>
        <v>0</v>
      </c>
      <c r="M41" s="28"/>
      <c r="N41" s="28"/>
      <c r="R41" s="26"/>
      <c r="S41" s="268"/>
      <c r="T41" s="246"/>
      <c r="U41" s="246"/>
      <c r="V41" s="112">
        <f>IF($I27=0,0,IF($I27&lt;$F61,$I27,$F$61))</f>
        <v>0</v>
      </c>
      <c r="W41" s="110"/>
      <c r="X41" s="113">
        <f>IF(G27&gt;DATE(YEAR(G$26),MONTH(G$26)+W40,DAY(G$26)),G27,DATE(YEAR(G$26),MONTH(G$26)+W40,DAY(G$26)))</f>
        <v>0</v>
      </c>
      <c r="Y41" s="246"/>
      <c r="Z41" s="246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  <c r="AM41" s="268"/>
      <c r="AN41" s="268"/>
      <c r="AO41" s="268"/>
      <c r="AP41" s="268"/>
    </row>
    <row r="42" spans="1:42" s="67" customFormat="1" ht="14.25" customHeight="1" x14ac:dyDescent="0.25">
      <c r="A42" s="93" t="s">
        <v>129</v>
      </c>
      <c r="B42" s="152">
        <f>B28</f>
        <v>0</v>
      </c>
      <c r="C42" s="145">
        <f t="shared" si="2"/>
        <v>0</v>
      </c>
      <c r="D42" s="146">
        <f t="shared" si="3"/>
        <v>0</v>
      </c>
      <c r="E42" s="147">
        <f t="shared" si="4"/>
        <v>0</v>
      </c>
      <c r="F42" s="148" t="str">
        <f t="shared" si="7"/>
        <v/>
      </c>
      <c r="G42" s="146">
        <f>IF($E$4=0,0,
IF(AND($D28&lt;&gt;"",$X28=0,$H63&lt;&gt;"S/O"),$H63,0))</f>
        <v>0</v>
      </c>
      <c r="H42" s="146">
        <f>IF(OR($E$4=0,$B64="Information manquante"),0,
IF(AND($E28&lt;&gt;"",$X28=0,$H63&lt;&gt;"S/O"),$H63,
IF(AND($E28&lt;&gt;"",$X28=0,$H63="S/O"),$E28,0)))</f>
        <v>0</v>
      </c>
      <c r="I42" s="146">
        <f>IF($I$46&gt;0,MIN(F28,(F28/$F$32)*I$46),0)</f>
        <v>0</v>
      </c>
      <c r="J42" s="146">
        <f t="shared" si="5"/>
        <v>0</v>
      </c>
      <c r="K42" s="148" t="str">
        <f t="shared" si="6"/>
        <v/>
      </c>
      <c r="L42" s="146">
        <f t="shared" ref="L42:L45" si="8">IF(X28=1,0,
N(D28)+N(E28)+N(F28)-J42)</f>
        <v>0</v>
      </c>
      <c r="M42" s="28"/>
      <c r="N42" s="28"/>
      <c r="R42" s="26"/>
      <c r="S42" s="268"/>
      <c r="T42" s="246"/>
      <c r="U42" s="246"/>
      <c r="V42" s="112">
        <f>IF($I28=0,0,IF($I28&lt;$F63,$I28,$F$63))</f>
        <v>0</v>
      </c>
      <c r="W42" s="110"/>
      <c r="X42" s="113">
        <f>IF(G28&gt;DATE(YEAR(G$26),MONTH(G$26)+W40+W41,DAY(G$26)),G28,DATE(YEAR(G$26),MONTH(G$26)+W40+W$41,DAY(G$26)))</f>
        <v>0</v>
      </c>
      <c r="Y42" s="246"/>
      <c r="Z42" s="246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  <c r="AM42" s="268"/>
      <c r="AN42" s="268"/>
      <c r="AO42" s="268"/>
      <c r="AP42" s="268"/>
    </row>
    <row r="43" spans="1:42" s="67" customFormat="1" ht="14.25" customHeight="1" x14ac:dyDescent="0.25">
      <c r="A43" s="93" t="s">
        <v>130</v>
      </c>
      <c r="B43" s="152">
        <f>$B$29</f>
        <v>0</v>
      </c>
      <c r="C43" s="145">
        <f t="shared" si="2"/>
        <v>0</v>
      </c>
      <c r="D43" s="146">
        <f t="shared" si="3"/>
        <v>0</v>
      </c>
      <c r="E43" s="147">
        <f t="shared" si="4"/>
        <v>0</v>
      </c>
      <c r="F43" s="148" t="str">
        <f t="shared" si="7"/>
        <v/>
      </c>
      <c r="G43" s="146">
        <f>IF($E$4=0,0,
IF(AND($D29&lt;&gt;"",$X29=0,$H65&lt;&gt;"S/O"),$H65,0))</f>
        <v>0</v>
      </c>
      <c r="H43" s="146">
        <f>IF(OR($E$4=0,$B66="Information manquante"),0,
IF(AND($E29&lt;&gt;"",$X29=0,$H65&lt;&gt;"S/O"),$H65,
IF(AND($E29&lt;&gt;"",$X29=0,$H65="S/O"),$E29,0)))</f>
        <v>0</v>
      </c>
      <c r="I43" s="146">
        <f>IF($I$46&gt;0,MIN(F29,(F29/$F$32)*I$46),0)</f>
        <v>0</v>
      </c>
      <c r="J43" s="146">
        <f t="shared" si="5"/>
        <v>0</v>
      </c>
      <c r="K43" s="148" t="str">
        <f t="shared" si="6"/>
        <v/>
      </c>
      <c r="L43" s="146">
        <f>IF(X29=1,0,
N(D29)+N(E29)+N(F29)-J43)</f>
        <v>0</v>
      </c>
      <c r="M43" s="28"/>
      <c r="N43" s="28"/>
      <c r="R43" s="26"/>
      <c r="S43" s="268"/>
      <c r="T43" s="246"/>
      <c r="U43" s="246"/>
      <c r="V43" s="112">
        <f>IF($V29=0,0,IF($V29&lt;$F65,$V29,$F$65))</f>
        <v>0</v>
      </c>
      <c r="W43" s="110"/>
      <c r="X43" s="113">
        <f>IF(G29&gt;DATE(YEAR(G$26),MONTH(G$26)+W$40+W$41+W42,DAY(G$26)),G29,DATE(YEAR(G$26),MONTH(G$26)+W$40+W$41+W42,DAY(G$26)))</f>
        <v>0</v>
      </c>
      <c r="Y43" s="246"/>
      <c r="Z43" s="246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  <c r="AM43" s="268"/>
      <c r="AN43" s="268"/>
      <c r="AO43" s="268"/>
      <c r="AP43" s="268"/>
    </row>
    <row r="44" spans="1:42" s="67" customFormat="1" ht="14.25" customHeight="1" x14ac:dyDescent="0.25">
      <c r="A44" s="94" t="s">
        <v>131</v>
      </c>
      <c r="B44" s="152">
        <f>$B$30</f>
        <v>0</v>
      </c>
      <c r="C44" s="145">
        <f t="shared" si="2"/>
        <v>0</v>
      </c>
      <c r="D44" s="146">
        <f t="shared" si="3"/>
        <v>0</v>
      </c>
      <c r="E44" s="147">
        <f t="shared" si="4"/>
        <v>0</v>
      </c>
      <c r="F44" s="148" t="str">
        <f t="shared" si="7"/>
        <v/>
      </c>
      <c r="G44" s="146">
        <f>IF($E$4=0,0,
IF(AND($D30&lt;&gt;"",$X30=0,$H67&lt;&gt;"S/O"),$H67,0))</f>
        <v>0</v>
      </c>
      <c r="H44" s="146">
        <f>IF(OR($E$4=0,$B68="Information manquante"),0,
IF(AND($E30&lt;&gt;"",$X30=0,$H67&lt;&gt;"S/O"),$H67,
IF(AND($E30&lt;&gt;"",$X30=0,$H67="S/O"),$E30,0)))</f>
        <v>0</v>
      </c>
      <c r="I44" s="146">
        <f>IF($I$46&gt;0,MIN(F30,(F30/$F$32)*I$46),0)</f>
        <v>0</v>
      </c>
      <c r="J44" s="146">
        <f t="shared" si="5"/>
        <v>0</v>
      </c>
      <c r="K44" s="148" t="str">
        <f t="shared" si="6"/>
        <v/>
      </c>
      <c r="L44" s="146">
        <f>IF(X30=1,0,
N(D30)+N(E30)+N(F30)-J44)</f>
        <v>0</v>
      </c>
      <c r="M44" s="28"/>
      <c r="N44" s="28"/>
      <c r="R44" s="26"/>
      <c r="S44" s="268"/>
      <c r="T44" s="246"/>
      <c r="U44" s="246"/>
      <c r="V44" s="112">
        <f>IF($V30=0,0,IF($V30&lt;$F67,$V30,$F$67))</f>
        <v>0</v>
      </c>
      <c r="W44" s="110"/>
      <c r="X44" s="113">
        <f>IF(G30&gt;DATE(YEAR(G$26),MONTH(G$26)+W$40+W$41+W42+W43,DAY(G$26)),G30,DATE(YEAR(G$26),MONTH(G$26)+W$40+W$41+W42+W43,DAY(G$26)))</f>
        <v>0</v>
      </c>
      <c r="Y44" s="246"/>
      <c r="Z44" s="246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</row>
    <row r="45" spans="1:42" s="67" customFormat="1" ht="14.25" customHeight="1" thickBot="1" x14ac:dyDescent="0.3">
      <c r="A45" s="95" t="s">
        <v>132</v>
      </c>
      <c r="B45" s="153">
        <f>$B$31</f>
        <v>0</v>
      </c>
      <c r="C45" s="149">
        <f t="shared" si="2"/>
        <v>0</v>
      </c>
      <c r="D45" s="151">
        <f t="shared" si="3"/>
        <v>0</v>
      </c>
      <c r="E45" s="147">
        <f t="shared" si="4"/>
        <v>0</v>
      </c>
      <c r="F45" s="148" t="str">
        <f t="shared" si="7"/>
        <v/>
      </c>
      <c r="G45" s="151">
        <f>IF($E$4=0,0,
IF(AND($D31&lt;&gt;"",$X31=0,$H69&lt;&gt;"S/O"),$H69,0))</f>
        <v>0</v>
      </c>
      <c r="H45" s="151">
        <f>IF(OR($E$4=0,$B70="Information manquante"),0,
IF(AND($E31&lt;&gt;"",$X31=0,$H69&lt;&gt;"S/O"),$H69,
IF(AND($E31&lt;&gt;"",$X31=0,$H69="S/O"),$E31,0)))</f>
        <v>0</v>
      </c>
      <c r="I45" s="151">
        <f>IF($I$46&gt;0,MIN(F31,(F31/$F$32)*I$46),0)</f>
        <v>0</v>
      </c>
      <c r="J45" s="151">
        <f t="shared" si="5"/>
        <v>0</v>
      </c>
      <c r="K45" s="148" t="str">
        <f t="shared" si="6"/>
        <v/>
      </c>
      <c r="L45" s="151">
        <f t="shared" si="8"/>
        <v>0</v>
      </c>
      <c r="M45" s="28"/>
      <c r="N45" s="28"/>
      <c r="R45" s="26"/>
      <c r="S45" s="268"/>
      <c r="T45" s="246"/>
      <c r="U45" s="246"/>
      <c r="V45" s="112">
        <f>IF($V31=0,0,IF($V31&lt;$F69,$V31,$F$69))</f>
        <v>0</v>
      </c>
      <c r="W45" s="110"/>
      <c r="X45" s="113">
        <f>IF(G31&gt;DATE(YEAR(G$26),MONTH(G$26)+W$40+W$41+W42+W43+W44,DAY(G$26)),G31,DATE(YEAR(G$26),MONTH(G$26)+W$40+W$41+W42+W43+W44,DAY(G$26)))</f>
        <v>0</v>
      </c>
      <c r="Y45" s="246"/>
      <c r="Z45" s="246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</row>
    <row r="46" spans="1:42" s="67" customFormat="1" ht="20.399999999999999" customHeight="1" thickBot="1" x14ac:dyDescent="0.3">
      <c r="A46" s="96"/>
      <c r="B46" s="97" t="s">
        <v>227</v>
      </c>
      <c r="C46" s="154">
        <f>IF(E46-(E4*0.2)&lt;$A$74,E46,IF(AND(A$73=15,J$73=4),IF((E4*0.2)&lt;E46,ROUND(E4*0.2,0),E46),IF((E4*0.2)&lt;E46,ROUND(E4*0.2,0),E46)))</f>
        <v>0</v>
      </c>
      <c r="D46" s="154">
        <f t="shared" si="3"/>
        <v>0</v>
      </c>
      <c r="E46" s="155">
        <f>MIN(C32,MIN(F97:F99))</f>
        <v>0</v>
      </c>
      <c r="F46" s="156">
        <f>SUM(F40:F45)</f>
        <v>0</v>
      </c>
      <c r="G46" s="154">
        <f>SUM(G40:G45)</f>
        <v>0</v>
      </c>
      <c r="H46" s="154">
        <f>SUM(H40:H45)</f>
        <v>0</v>
      </c>
      <c r="I46" s="154">
        <f>IF($H$46+$G$46=0,0,IF(F$32&lt;=MAX(H75:H83),F$32,MAX(H75:H83)))</f>
        <v>0</v>
      </c>
      <c r="J46" s="154">
        <f>H46+I46+G46</f>
        <v>0</v>
      </c>
      <c r="K46" s="156">
        <f>SUM(K40:K45)</f>
        <v>0</v>
      </c>
      <c r="L46" s="154">
        <f>SUM(L40:L45)</f>
        <v>0</v>
      </c>
      <c r="M46" s="28"/>
      <c r="N46" s="28"/>
      <c r="O46" s="26"/>
      <c r="P46" s="26"/>
      <c r="Q46" s="26"/>
      <c r="R46" s="26"/>
      <c r="S46" s="268"/>
      <c r="T46" s="246"/>
      <c r="U46" s="246"/>
      <c r="V46" s="246"/>
      <c r="W46" s="246"/>
      <c r="X46" s="246"/>
      <c r="Y46" s="246"/>
      <c r="Z46" s="246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</row>
    <row r="47" spans="1:42" s="275" customFormat="1" ht="23.1" customHeight="1" thickBot="1" x14ac:dyDescent="0.3">
      <c r="A47" s="83"/>
      <c r="B47" s="619" t="str">
        <f>IF(K73=1,K89,IF(K73=2,K90,"Mesure incitative"))</f>
        <v>Mesure incitative</v>
      </c>
      <c r="C47" s="620"/>
      <c r="D47" s="621"/>
      <c r="E47" s="157">
        <f>MIN(E11,MAX(N(I98),N(I99)))</f>
        <v>0</v>
      </c>
      <c r="F47" s="156">
        <f>IF($E$4=0,0,E47/$E$4)</f>
        <v>0</v>
      </c>
      <c r="G47" s="84"/>
      <c r="K47" s="133"/>
      <c r="L47" s="85"/>
      <c r="M47" s="86"/>
      <c r="N47" s="86"/>
      <c r="O47" s="86"/>
      <c r="P47" s="86"/>
      <c r="Q47" s="86"/>
      <c r="R47" s="86"/>
      <c r="S47" s="274"/>
      <c r="T47" s="246"/>
      <c r="U47" s="246"/>
      <c r="V47" s="246"/>
      <c r="W47" s="246"/>
      <c r="X47" s="246"/>
      <c r="Y47" s="246"/>
      <c r="Z47" s="246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</row>
    <row r="48" spans="1:42" s="67" customFormat="1" ht="18" customHeight="1" x14ac:dyDescent="0.25">
      <c r="A48" s="298" t="s">
        <v>242</v>
      </c>
      <c r="B48" s="45"/>
      <c r="C48" s="28"/>
      <c r="D48" s="44"/>
      <c r="E48" s="44"/>
      <c r="F48" s="44"/>
      <c r="G48" s="43"/>
      <c r="H48" s="509" t="str">
        <f>IF(AND($A$73&lt;=11,$G$46+$H$46&gt;0,$F$32&gt;0,$E$4&gt;0,SUM(N(D$75),N(D$76),N(D$77),N(D$78),N(D$80),N(D$81),N(D$82),N(D$83))&gt;0),
"DDA + ADA / Exigence seuil:",
"")</f>
        <v/>
      </c>
      <c r="I48" s="510" t="str">
        <f>IF(AND($A$73&lt;=11,$G$46+$H$46&gt;0,$F$32&gt;0,$E$4&gt;0,SUM(N(D$75),N(D$76),N(D$77),N(D$78),N(D$80),N(D$81),N(D$82),N(D$83))&gt;0),
SUM(G$46,H$46)/SUM(N(D$75),N(D$76),N(D$77),N(D$78),N(D$80),N(D$81),N(D$82),N(D$83)),
"")</f>
        <v/>
      </c>
      <c r="J48" s="132"/>
      <c r="K48" s="134"/>
      <c r="L48" s="26"/>
      <c r="M48" s="26"/>
      <c r="N48" s="26"/>
      <c r="O48" s="26"/>
      <c r="P48" s="26"/>
      <c r="Q48" s="26"/>
      <c r="R48" s="26"/>
      <c r="S48" s="268"/>
      <c r="T48" s="246"/>
      <c r="U48" s="246"/>
      <c r="V48" s="246"/>
      <c r="W48" s="246"/>
      <c r="X48" s="246"/>
      <c r="Y48" s="246"/>
      <c r="Z48" s="246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</row>
    <row r="49" spans="1:42" s="253" customFormat="1" ht="17.100000000000001" hidden="1" customHeight="1" x14ac:dyDescent="0.25">
      <c r="A49" s="298"/>
      <c r="B49" s="135"/>
      <c r="C49" s="135"/>
      <c r="D49" s="135"/>
      <c r="E49" s="135"/>
      <c r="F49" s="237"/>
      <c r="G49" s="237"/>
      <c r="H49" s="284"/>
      <c r="I49" s="285"/>
      <c r="K49" s="208"/>
      <c r="L49" s="208"/>
      <c r="M49"/>
      <c r="N49"/>
      <c r="O49" s="105"/>
      <c r="P49"/>
      <c r="Q49"/>
      <c r="R49" s="105"/>
      <c r="S49" s="251"/>
      <c r="T49" s="251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</row>
    <row r="50" spans="1:42" s="234" customFormat="1" ht="18" hidden="1" customHeight="1" x14ac:dyDescent="0.25">
      <c r="A50" s="407" t="s">
        <v>234</v>
      </c>
      <c r="B50" s="408"/>
      <c r="C50" s="408"/>
      <c r="D50" s="287"/>
      <c r="E50" s="287"/>
      <c r="F50" s="287"/>
      <c r="G50" s="287"/>
      <c r="H50" s="287"/>
      <c r="I50" s="287"/>
      <c r="J50" s="287"/>
      <c r="K50" s="287"/>
      <c r="L50" s="236"/>
      <c r="M50" s="236"/>
      <c r="N50" s="236"/>
      <c r="O50" s="236"/>
      <c r="P50" s="236"/>
      <c r="Q50" s="236"/>
      <c r="R50" s="236"/>
      <c r="S50" s="236"/>
      <c r="T50" s="236"/>
      <c r="U50" s="288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</row>
    <row r="51" spans="1:42" s="287" customFormat="1" ht="34.5" hidden="1" customHeight="1" x14ac:dyDescent="0.25">
      <c r="A51" s="530" t="s">
        <v>229</v>
      </c>
      <c r="B51" s="531"/>
      <c r="C51" s="531"/>
      <c r="D51" s="531"/>
      <c r="E51" s="531"/>
      <c r="F51" s="531"/>
      <c r="G51" s="531"/>
      <c r="H51" s="531"/>
      <c r="I51" s="531"/>
      <c r="J51" s="531"/>
      <c r="K51" s="531"/>
      <c r="L51" s="208"/>
      <c r="M51" s="288"/>
      <c r="N51" s="288"/>
      <c r="O51" s="288"/>
      <c r="P51" s="288"/>
      <c r="Q51" s="288"/>
      <c r="R51" s="288"/>
      <c r="S51" s="288"/>
      <c r="T51" s="288"/>
      <c r="U51" s="288"/>
      <c r="V51" s="236"/>
      <c r="W51" s="236"/>
      <c r="X51" s="236"/>
      <c r="Y51" s="236"/>
      <c r="Z51" s="236"/>
      <c r="AA51" s="288"/>
      <c r="AB51" s="288"/>
      <c r="AC51" s="288"/>
      <c r="AD51" s="288"/>
      <c r="AE51" s="288"/>
      <c r="AF51" s="288"/>
      <c r="AG51" s="288"/>
      <c r="AH51" s="288"/>
      <c r="AI51" s="288"/>
      <c r="AJ51" s="288"/>
      <c r="AK51" s="288"/>
      <c r="AL51" s="288"/>
      <c r="AM51" s="288"/>
      <c r="AN51" s="288"/>
      <c r="AO51" s="288"/>
    </row>
    <row r="52" spans="1:42" s="287" customFormat="1" ht="9.9" hidden="1" customHeight="1" x14ac:dyDescent="0.25">
      <c r="A52" s="292"/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0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288"/>
      <c r="AK52" s="288"/>
      <c r="AL52" s="288"/>
      <c r="AM52" s="288"/>
      <c r="AN52" s="288"/>
    </row>
    <row r="53" spans="1:42" s="287" customFormat="1" ht="30" hidden="1" customHeight="1" x14ac:dyDescent="0.25">
      <c r="A53" s="292"/>
      <c r="B53" s="293"/>
      <c r="C53" s="412" t="str">
        <f>IF(AND(E26&gt;0,X26=0,B26&lt;&gt;""),B26,"")</f>
        <v/>
      </c>
      <c r="D53" s="412" t="str">
        <f>IF(AND(E27&gt;0,X27=0,B27&lt;&gt;""),B27,"")</f>
        <v/>
      </c>
      <c r="E53" s="412" t="str">
        <f>IF(AND(E28&gt;0,X28=0,B28&lt;&gt;""),B28,"")</f>
        <v/>
      </c>
      <c r="F53" s="412" t="str">
        <f>IF(AND(E29&gt;0,X29=0,B29&lt;&gt;""),B29,"")</f>
        <v/>
      </c>
      <c r="G53" s="412" t="str">
        <f>IF(AND(E30&gt;0,X30=0,B30&lt;&gt;""),B30,"")</f>
        <v/>
      </c>
      <c r="H53" s="412" t="str">
        <f>IF(AND(E31&gt;0,X31=0,B31&lt;&gt;""),B31,"")</f>
        <v/>
      </c>
      <c r="I53" s="292"/>
      <c r="J53" s="292"/>
      <c r="K53" s="292"/>
      <c r="L53" s="208"/>
      <c r="M53" s="288"/>
      <c r="N53" s="288"/>
      <c r="O53" s="288"/>
      <c r="P53" s="288"/>
      <c r="Q53" s="288"/>
      <c r="R53" s="288"/>
      <c r="S53" s="288"/>
      <c r="T53" s="288"/>
      <c r="U53" s="288"/>
      <c r="V53" s="236"/>
      <c r="W53" s="236"/>
      <c r="X53" s="236"/>
      <c r="Y53" s="236"/>
      <c r="Z53" s="236"/>
      <c r="AA53" s="288"/>
      <c r="AB53" s="288"/>
      <c r="AC53" s="288"/>
      <c r="AD53" s="288"/>
      <c r="AE53" s="288"/>
      <c r="AF53" s="288"/>
      <c r="AG53" s="288"/>
      <c r="AH53" s="288"/>
      <c r="AI53" s="288"/>
      <c r="AJ53" s="288"/>
      <c r="AK53" s="288"/>
      <c r="AL53" s="288"/>
      <c r="AM53" s="288"/>
      <c r="AN53" s="288"/>
    </row>
    <row r="54" spans="1:42" s="287" customFormat="1" ht="20.100000000000001" hidden="1" customHeight="1" x14ac:dyDescent="0.25">
      <c r="A54" s="292"/>
      <c r="B54" s="293"/>
      <c r="C54" s="310" t="s">
        <v>21</v>
      </c>
      <c r="D54" s="310" t="s">
        <v>22</v>
      </c>
      <c r="E54" s="310" t="s">
        <v>23</v>
      </c>
      <c r="F54" s="310" t="s">
        <v>24</v>
      </c>
      <c r="G54" s="310" t="s">
        <v>25</v>
      </c>
      <c r="H54" s="310" t="s">
        <v>26</v>
      </c>
      <c r="I54" s="292"/>
      <c r="J54" s="292"/>
      <c r="K54" s="292"/>
      <c r="L54" s="208"/>
      <c r="M54" s="288"/>
      <c r="N54" s="288"/>
      <c r="O54" s="288"/>
      <c r="P54" s="288"/>
      <c r="Q54" s="288"/>
      <c r="R54" s="288"/>
      <c r="S54" s="288"/>
      <c r="T54" s="288"/>
      <c r="U54" s="288"/>
      <c r="V54" s="236"/>
      <c r="W54" s="236"/>
      <c r="X54" s="236"/>
      <c r="Y54" s="236"/>
      <c r="Z54" s="236"/>
      <c r="AA54" s="288"/>
      <c r="AB54" s="288"/>
      <c r="AC54" s="288"/>
      <c r="AD54" s="288"/>
      <c r="AE54" s="288"/>
      <c r="AF54" s="288"/>
      <c r="AG54" s="288"/>
      <c r="AH54" s="288"/>
      <c r="AI54" s="288"/>
      <c r="AJ54" s="288"/>
      <c r="AK54" s="288"/>
      <c r="AL54" s="288"/>
      <c r="AM54" s="288"/>
      <c r="AN54" s="288"/>
    </row>
    <row r="55" spans="1:42" s="287" customFormat="1" ht="20.100000000000001" hidden="1" customHeight="1" x14ac:dyDescent="0.25">
      <c r="A55" s="534" t="s">
        <v>232</v>
      </c>
      <c r="B55" s="535"/>
      <c r="C55" s="413" t="str">
        <f>IF(OR($E$4="",E26="",X26=1,J26=0,K26=0),"",
IF(V59=TRUE,"Oui","Non"))</f>
        <v/>
      </c>
      <c r="D55" s="413" t="str">
        <f>IF(OR($E$4="",E27="",X27=1,J27="",K27=""),"",
IF($V61=TRUE,"Oui","Non"))</f>
        <v/>
      </c>
      <c r="E55" s="413" t="str">
        <f>IF(OR($E$4="",E28="",X28=1,J28="",K28=""),"",
IF($V63=TRUE,"Oui","Non"))</f>
        <v/>
      </c>
      <c r="F55" s="413" t="str">
        <f>IF(OR($E$4="",E29="",X29=1,J29="",K29=""),"",
IF($V65=TRUE,"Oui","Non"))</f>
        <v/>
      </c>
      <c r="G55" s="413" t="str">
        <f>IF(OR($E$4="",E30="",X30=1,J30="",K30=""),"",
IF($V67=TRUE,"Oui","Non"))</f>
        <v/>
      </c>
      <c r="H55" s="413" t="str">
        <f>IF(OR($E$4="",E31="",X31=1,J31="",K31=""),"",
IF($V69=TRUE,"Oui","Non"))</f>
        <v/>
      </c>
      <c r="I55" s="292"/>
      <c r="J55" s="292"/>
      <c r="K55" s="292"/>
      <c r="L55" s="208"/>
      <c r="M55" s="288"/>
      <c r="N55" s="288"/>
      <c r="O55" s="288"/>
      <c r="P55" s="288"/>
      <c r="Q55" s="288"/>
      <c r="R55" s="288"/>
      <c r="S55" s="288"/>
      <c r="T55" s="288"/>
      <c r="U55" s="288"/>
      <c r="V55" s="236"/>
      <c r="W55" s="236"/>
      <c r="X55" s="236"/>
      <c r="Y55" s="236"/>
      <c r="Z55" s="236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</row>
    <row r="56" spans="1:42" s="287" customFormat="1" ht="19.5" hidden="1" customHeight="1" x14ac:dyDescent="0.25">
      <c r="A56" s="534" t="s">
        <v>233</v>
      </c>
      <c r="B56" s="535"/>
      <c r="C56" s="413" t="str">
        <f>IF(C55="","",
IF(AND(C55="",I26=""),"",
IF(C55="Non","N/A",
IF(AND($C55="Oui",D59-F59&gt;0),"Non","Oui"))))</f>
        <v/>
      </c>
      <c r="D56" s="413" t="str">
        <f>IF(D55="","",
IF(AND(D55="Oui",I27=""),"",
IF(D55="Non","N/A",
IF(AND(D55="Oui",D61-F61&gt;0),"Non","Oui"))))</f>
        <v/>
      </c>
      <c r="E56" s="413" t="str">
        <f>IF(E55="","",
IF(AND(E55="",I28=""),"",
IF(E55="Non","N/A",
IF(AND(E55="Oui",D63-F63&gt;0),"Non","Oui"))))</f>
        <v/>
      </c>
      <c r="F56" s="413" t="str">
        <f>IF(F55="","",
IF(AND(F55="",I29=""),"",
IF(F55="Non","N/A",
IF(AND(F55="Oui",D65-F65&gt;0),"Non","Oui"))))</f>
        <v/>
      </c>
      <c r="G56" s="413" t="str">
        <f>IF(G55="","",
IF(AND(G55="",I30=""),"",
IF(G55="Non","N/A",
IF(AND(G55="Oui",D67-F67&gt;0),"Non","Oui"))))</f>
        <v/>
      </c>
      <c r="H56" s="413" t="str">
        <f>IF(H55="","",
IF(AND(H55="",I31=""),"",
IF(H55="Non","N/A",
IF(AND(H55="Oui",D69-F69&gt;0),"Non","Oui"))))</f>
        <v/>
      </c>
      <c r="I56" s="292"/>
      <c r="J56" s="292"/>
      <c r="K56" s="292"/>
      <c r="M56" s="288"/>
      <c r="N56" s="288"/>
      <c r="O56" s="288"/>
      <c r="P56" s="288"/>
      <c r="Q56" s="288"/>
      <c r="R56" s="288"/>
      <c r="S56" s="288"/>
      <c r="T56" s="288"/>
      <c r="U56" s="236"/>
      <c r="V56" s="236"/>
      <c r="W56" s="236"/>
      <c r="X56" s="236"/>
      <c r="Y56" s="236"/>
      <c r="Z56" s="236"/>
      <c r="AA56" s="288"/>
      <c r="AB56" s="288"/>
      <c r="AC56" s="288"/>
      <c r="AD56" s="288"/>
      <c r="AE56" s="288"/>
      <c r="AF56" s="288"/>
      <c r="AG56" s="288"/>
      <c r="AH56" s="288"/>
      <c r="AI56" s="288"/>
      <c r="AJ56" s="288"/>
      <c r="AK56" s="288"/>
      <c r="AL56" s="288"/>
      <c r="AM56" s="288"/>
      <c r="AN56" s="288"/>
    </row>
    <row r="57" spans="1:42" s="67" customFormat="1" ht="18" customHeight="1" x14ac:dyDescent="0.25">
      <c r="B57" s="104"/>
      <c r="C57" s="104"/>
      <c r="D57" s="104"/>
      <c r="E57" s="104"/>
      <c r="F57" s="104"/>
      <c r="G57" s="104"/>
      <c r="J57" s="104"/>
      <c r="K57" s="104"/>
      <c r="L57" s="26"/>
      <c r="M57" s="26"/>
      <c r="N57" s="26"/>
      <c r="O57" s="26"/>
      <c r="P57" s="26"/>
      <c r="Q57" s="26"/>
      <c r="R57" s="26"/>
      <c r="S57" s="268"/>
      <c r="T57" s="246"/>
      <c r="U57" s="246"/>
      <c r="V57" s="246"/>
      <c r="W57" s="246"/>
      <c r="X57" s="246"/>
      <c r="Y57" s="246"/>
      <c r="Z57" s="246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  <c r="AM57" s="268"/>
      <c r="AN57" s="268"/>
      <c r="AO57" s="268"/>
    </row>
    <row r="58" spans="1:42" s="67" customFormat="1" ht="21" customHeight="1" x14ac:dyDescent="0.25">
      <c r="A58" s="506" t="s">
        <v>244</v>
      </c>
      <c r="B58" s="507"/>
      <c r="C58" s="507"/>
      <c r="D58" s="507"/>
      <c r="E58" s="508"/>
      <c r="F58" s="41"/>
      <c r="G58" s="41"/>
      <c r="H58" s="31"/>
      <c r="I58" s="31"/>
      <c r="J58" s="31"/>
      <c r="K58" s="31"/>
      <c r="L58" s="26"/>
      <c r="M58" s="26"/>
      <c r="N58" s="26"/>
      <c r="O58" s="26"/>
      <c r="P58" s="26"/>
      <c r="Q58" s="26"/>
      <c r="R58" s="26"/>
      <c r="S58" s="268"/>
      <c r="T58" s="246"/>
      <c r="U58" s="246"/>
      <c r="V58" s="294" t="s">
        <v>204</v>
      </c>
      <c r="W58" s="294" t="s">
        <v>201</v>
      </c>
      <c r="X58" s="246"/>
      <c r="Y58" s="246"/>
      <c r="Z58" s="246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  <c r="AM58" s="268"/>
      <c r="AN58" s="268"/>
      <c r="AO58" s="268"/>
    </row>
    <row r="59" spans="1:42" s="277" customFormat="1" ht="25.5" customHeight="1" x14ac:dyDescent="0.25">
      <c r="A59" s="158" t="s">
        <v>127</v>
      </c>
      <c r="B59" s="159">
        <f>IF(AND($E26&lt;&gt;"",$D26=""),$E26,IF(AND($E26="",$D26&lt;&gt;""),$D26,IF(AND($E26="",$F26&lt;&gt;""),$F26,0)))</f>
        <v>0</v>
      </c>
      <c r="C59" s="160" t="s">
        <v>39</v>
      </c>
      <c r="D59" s="161">
        <f>$I$26</f>
        <v>0</v>
      </c>
      <c r="E59" s="160" t="s">
        <v>40</v>
      </c>
      <c r="F59" s="161">
        <f>IF(A73&gt;=16,60,72)</f>
        <v>60</v>
      </c>
      <c r="G59" s="160" t="s">
        <v>41</v>
      </c>
      <c r="H59" s="159" t="str">
        <f>IF(AND(D26&lt;=0,OR(X26=1,V59=FALSE)),"S/O",
IF($I26&lt;F59,B59,
(B59/D59)*F59))</f>
        <v>S/O</v>
      </c>
      <c r="I59" s="536" t="s">
        <v>144</v>
      </c>
      <c r="J59" s="622"/>
      <c r="K59" s="162">
        <f>DATE(YEAR(G26),(MONTH(G26)+F59),DAY(G26))</f>
        <v>1827</v>
      </c>
      <c r="L59" s="98"/>
      <c r="M59" s="98"/>
      <c r="N59" s="98"/>
      <c r="O59" s="98"/>
      <c r="P59" s="98"/>
      <c r="Q59" s="98"/>
      <c r="R59" s="98"/>
      <c r="S59" s="276"/>
      <c r="T59" s="246"/>
      <c r="U59" s="246"/>
      <c r="V59" s="238" t="b">
        <f>AND(E26&gt;0,J26="Canadien",K26="Non")</f>
        <v>0</v>
      </c>
      <c r="W59" s="295" t="str">
        <f>IF(X26&gt;0,"S/O",
IF(AND($E26&gt;0,K26="Oui"),"S/O (dist. apparenté au requérant)",
IF(AND($E26&gt;0,$X26=0,$J26="Canadien",$K26=""),"Information manquante",
IF(AND($E26&gt;0,$X26=0,$J26="",$K26&lt;&gt;"Oui"),"Information manquante",
IF(AND($E26&gt;0,$X26=0,$J26="Canadien",$K26="Non"),"ADA totale (droits CAN)",
IF(D26&gt;0,"Montant total des droits de diffusion",
IF(OR($J26="International",F26&gt;0),"S/O (droits int.)","")))))))</f>
        <v/>
      </c>
      <c r="X59" s="246"/>
      <c r="Y59" s="246"/>
      <c r="Z59" s="24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  <c r="AM59" s="276"/>
      <c r="AN59" s="276"/>
      <c r="AO59" s="276"/>
    </row>
    <row r="60" spans="1:42" s="67" customFormat="1" ht="25.5" customHeight="1" x14ac:dyDescent="0.25">
      <c r="A60" s="163"/>
      <c r="B60" s="239" t="str">
        <f>W59</f>
        <v/>
      </c>
      <c r="C60" s="165"/>
      <c r="D60" s="165" t="s">
        <v>145</v>
      </c>
      <c r="E60" s="166"/>
      <c r="F60" s="165" t="s">
        <v>146</v>
      </c>
      <c r="G60" s="166"/>
      <c r="H60" s="164" t="s">
        <v>147</v>
      </c>
      <c r="I60" s="167"/>
      <c r="J60" s="167"/>
      <c r="K60" s="168"/>
      <c r="L60" s="26"/>
      <c r="M60" s="26"/>
      <c r="N60" s="26"/>
      <c r="O60" s="26"/>
      <c r="P60" s="26"/>
      <c r="Q60" s="26"/>
      <c r="R60" s="26"/>
      <c r="S60" s="268"/>
      <c r="T60" s="246"/>
      <c r="U60" s="246"/>
      <c r="V60" s="239"/>
      <c r="W60" s="296"/>
      <c r="X60" s="246"/>
      <c r="Y60" s="246"/>
      <c r="Z60" s="246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  <c r="AM60" s="268"/>
      <c r="AN60" s="268"/>
      <c r="AO60" s="268"/>
    </row>
    <row r="61" spans="1:42" s="277" customFormat="1" ht="25.5" customHeight="1" x14ac:dyDescent="0.25">
      <c r="A61" s="158" t="s">
        <v>128</v>
      </c>
      <c r="B61" s="159">
        <f>IF(AND($E27&lt;&gt;"",$D27=""),$E27,IF(AND($E27="",$D27&lt;&gt;""),$D27,IF(AND($E27="",$F27&lt;&gt;""),$F27,0)))</f>
        <v>0</v>
      </c>
      <c r="C61" s="160" t="s">
        <v>39</v>
      </c>
      <c r="D61" s="161">
        <f>$I$27</f>
        <v>0</v>
      </c>
      <c r="E61" s="160" t="s">
        <v>40</v>
      </c>
      <c r="F61" s="169">
        <f>IF((YEAR(K$59)-YEAR(X41))*12+MONTH(K$59)-MONTH(X41)&lt;0,0,(YEAR(K$59)-YEAR(X41))*12+MONTH(K$59)-MONTH(X41))</f>
        <v>59</v>
      </c>
      <c r="G61" s="160" t="s">
        <v>41</v>
      </c>
      <c r="H61" s="159" t="str">
        <f>IF(AND(D27&lt;=0,OR(X27=1,V61=FALSE)),"S/O",
IF($I27&lt;F61,B61,
(B61/D61)*F61))</f>
        <v>S/O</v>
      </c>
      <c r="I61" s="170"/>
      <c r="J61" s="170"/>
      <c r="K61" s="171"/>
      <c r="L61" s="98"/>
      <c r="M61" s="98"/>
      <c r="N61" s="98"/>
      <c r="O61" s="98"/>
      <c r="P61" s="98"/>
      <c r="Q61" s="98"/>
      <c r="R61" s="98"/>
      <c r="S61" s="276"/>
      <c r="T61" s="246"/>
      <c r="U61" s="246"/>
      <c r="V61" s="238" t="b">
        <f>AND(E27&gt;0,J27="Canadien",K27="Non")</f>
        <v>0</v>
      </c>
      <c r="W61" s="295" t="str">
        <f>IF(X27&gt;0,"S/O",
IF(AND($E27&gt;0,K27="Oui"),"S/O (dist. apparenté au requérant)",
IF(AND($E27&gt;0,$X27=0,$J27="Canadien",$K27=""),"Information manquante",
IF(AND($E27&gt;0,$X27=0,$J27="",$K27&lt;&gt;"Oui"),"Information manquante",
IF(AND($E27&gt;0,$X27=0,$J27="Canadien",$K27="Non"),"ADA totale (droits CAN)",
IF(D27&gt;0,"Montant total des droits de diffusion",
IF(OR($J27="International",F27&gt;0),"S/O (droits int.)","")))))))</f>
        <v/>
      </c>
      <c r="X61" s="246"/>
      <c r="Y61" s="246"/>
      <c r="Z61" s="24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6"/>
      <c r="AM61" s="276"/>
      <c r="AN61" s="276"/>
      <c r="AO61" s="276"/>
    </row>
    <row r="62" spans="1:42" s="67" customFormat="1" ht="25.5" customHeight="1" x14ac:dyDescent="0.25">
      <c r="A62" s="172"/>
      <c r="B62" s="239" t="str">
        <f>W61</f>
        <v/>
      </c>
      <c r="C62" s="165"/>
      <c r="D62" s="165" t="s">
        <v>145</v>
      </c>
      <c r="E62" s="166"/>
      <c r="F62" s="165" t="s">
        <v>146</v>
      </c>
      <c r="G62" s="166"/>
      <c r="H62" s="164" t="s">
        <v>147</v>
      </c>
      <c r="I62" s="167"/>
      <c r="J62" s="167"/>
      <c r="K62" s="168"/>
      <c r="L62" s="26"/>
      <c r="M62" s="26"/>
      <c r="N62" s="26"/>
      <c r="O62" s="26"/>
      <c r="P62" s="26"/>
      <c r="Q62" s="26"/>
      <c r="R62" s="26"/>
      <c r="S62" s="268"/>
      <c r="T62" s="246"/>
      <c r="U62" s="246"/>
      <c r="V62" s="239"/>
      <c r="W62" s="296"/>
      <c r="X62" s="246"/>
      <c r="Y62" s="246"/>
      <c r="Z62" s="246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</row>
    <row r="63" spans="1:42" s="277" customFormat="1" ht="25.5" customHeight="1" x14ac:dyDescent="0.25">
      <c r="A63" s="158" t="s">
        <v>129</v>
      </c>
      <c r="B63" s="159">
        <f>IF(AND($E28&lt;&gt;"",$D28=""),$E28,IF(AND($E28="",$D28&lt;&gt;""),$D28,IF(AND($E28="",$F28&lt;&gt;""),$F28,0)))</f>
        <v>0</v>
      </c>
      <c r="C63" s="160" t="s">
        <v>39</v>
      </c>
      <c r="D63" s="161">
        <f>$I$28</f>
        <v>0</v>
      </c>
      <c r="E63" s="160" t="s">
        <v>40</v>
      </c>
      <c r="F63" s="169">
        <f>IF((YEAR(K$59)-YEAR(X42))*12+MONTH(K$59)-MONTH(X42)&lt;0,0,(YEAR(K$59)-YEAR(X42))*12+MONTH(K$59)-MONTH(X42))</f>
        <v>59</v>
      </c>
      <c r="G63" s="160" t="s">
        <v>41</v>
      </c>
      <c r="H63" s="159" t="str">
        <f>IF(AND(D28&lt;=0,OR(X28=1,V63=FALSE)),"S/O",
IF($I28&lt;F63,B63,
(B63/D63)*F63))</f>
        <v>S/O</v>
      </c>
      <c r="I63" s="170"/>
      <c r="J63" s="170"/>
      <c r="K63" s="171"/>
      <c r="L63" s="98"/>
      <c r="M63" s="98"/>
      <c r="N63" s="98"/>
      <c r="O63" s="98"/>
      <c r="P63" s="98"/>
      <c r="Q63" s="98"/>
      <c r="R63" s="98"/>
      <c r="S63" s="276"/>
      <c r="T63" s="246"/>
      <c r="U63" s="246"/>
      <c r="V63" s="238" t="b">
        <f>AND(E28&gt;0,J28="Canadien",K28="Non")</f>
        <v>0</v>
      </c>
      <c r="W63" s="295" t="str">
        <f>IF(X28&gt;0,"S/O",
IF(AND($E28&gt;0,K28="Oui"),"S/O (dist. apparenté au requérant)",
IF(AND($E28&gt;0,$X28=0,$J28="Canadien",$K28=""),"Information manquante",
IF(AND($E28&gt;0,$X28=0,$J28="",$K28&lt;&gt;"Oui"),"Information manquante",
IF(AND($E28&gt;0,$X28=0,$J28="Canadien",$K28="Non"),"ADA totale (droits CAN)",
IF(D28&gt;0,"Montant total des droits de diffusion",
IF(OR($J28="International",F28&gt;0),"S/O (droits int.)","")))))))</f>
        <v/>
      </c>
      <c r="X63" s="246"/>
      <c r="Y63" s="246"/>
      <c r="Z63" s="246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/>
      <c r="AK63" s="276"/>
      <c r="AL63" s="276"/>
      <c r="AM63" s="276"/>
      <c r="AN63" s="276"/>
      <c r="AO63" s="276"/>
    </row>
    <row r="64" spans="1:42" s="67" customFormat="1" ht="25.5" customHeight="1" x14ac:dyDescent="0.25">
      <c r="A64" s="173"/>
      <c r="B64" s="239" t="str">
        <f>W63</f>
        <v/>
      </c>
      <c r="C64" s="165"/>
      <c r="D64" s="165" t="s">
        <v>148</v>
      </c>
      <c r="E64" s="166"/>
      <c r="F64" s="165" t="s">
        <v>146</v>
      </c>
      <c r="G64" s="166"/>
      <c r="H64" s="164" t="s">
        <v>147</v>
      </c>
      <c r="I64" s="167"/>
      <c r="J64" s="167"/>
      <c r="K64" s="168"/>
      <c r="L64" s="26"/>
      <c r="M64" s="26"/>
      <c r="N64" s="26"/>
      <c r="O64" s="26"/>
      <c r="P64" s="26"/>
      <c r="Q64" s="26"/>
      <c r="R64" s="26"/>
      <c r="S64" s="268"/>
      <c r="T64" s="246"/>
      <c r="U64" s="246"/>
      <c r="V64" s="239"/>
      <c r="W64" s="296"/>
      <c r="X64" s="246"/>
      <c r="Y64" s="246"/>
      <c r="Z64" s="246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  <c r="AM64" s="268"/>
      <c r="AN64" s="268"/>
      <c r="AO64" s="268"/>
    </row>
    <row r="65" spans="1:42" s="277" customFormat="1" ht="25.5" customHeight="1" x14ac:dyDescent="0.25">
      <c r="A65" s="158" t="s">
        <v>130</v>
      </c>
      <c r="B65" s="159">
        <f>IF(AND($E29&lt;&gt;"",$D29=""),$E29,IF(AND($E29="",$D29&lt;&gt;""),$D29,IF(AND($E29="",$F29&lt;&gt;""),$F29,0)))</f>
        <v>0</v>
      </c>
      <c r="C65" s="160" t="s">
        <v>39</v>
      </c>
      <c r="D65" s="169">
        <f>$I$29</f>
        <v>0</v>
      </c>
      <c r="E65" s="160" t="s">
        <v>40</v>
      </c>
      <c r="F65" s="169">
        <f>IF((YEAR(K$59)-YEAR(X43))*12+MONTH(K$59)-MONTH(X43)&lt;0,0,(YEAR(K$59)-YEAR(X43))*12+MONTH(K$59)-MONTH(X43))</f>
        <v>59</v>
      </c>
      <c r="G65" s="160" t="s">
        <v>41</v>
      </c>
      <c r="H65" s="504" t="str">
        <f>IF(AND(D29&lt;=0,OR(X29=1,V65=FALSE)),"S/O",
IF($I29&lt;F65,B65,
(B65/D65)*F65))</f>
        <v>S/O</v>
      </c>
      <c r="I65" s="170"/>
      <c r="J65" s="170"/>
      <c r="K65" s="171"/>
      <c r="L65" s="98"/>
      <c r="M65" s="98"/>
      <c r="N65" s="98"/>
      <c r="O65" s="98"/>
      <c r="P65" s="98"/>
      <c r="Q65" s="98"/>
      <c r="R65" s="98"/>
      <c r="S65" s="276"/>
      <c r="T65" s="246"/>
      <c r="U65" s="246"/>
      <c r="V65" s="238" t="b">
        <f>AND(E29&gt;0,J29="Canadien",K29="Non")</f>
        <v>0</v>
      </c>
      <c r="W65" s="295" t="str">
        <f>IF(X29&gt;0,"S/O",
IF(AND($E29&gt;0,K29="Oui"),"S/O (dist. apparenté au requérant)",
IF(AND($E29&gt;0,$X29=0,$J29="Canadien",$K29=""),"Information manquante",
IF(AND($E29&gt;0,$X29=0,$J29="",$K29&lt;&gt;"Oui"),"Information manquante",
IF(AND($E29&gt;0,$X29=0,$J29="Canadien",$K29="Non"),"ADA totale (droits CAN)",
IF(D29&gt;0,"Montant total des droits de diffusion",
IF(OR($J29="International",F29&gt;0),"S/O (droits int.)","")))))))</f>
        <v/>
      </c>
      <c r="X65" s="246"/>
      <c r="Y65" s="246"/>
      <c r="Z65" s="24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6"/>
      <c r="AM65" s="276"/>
      <c r="AN65" s="276"/>
      <c r="AO65" s="276"/>
    </row>
    <row r="66" spans="1:42" s="67" customFormat="1" ht="30.6" customHeight="1" x14ac:dyDescent="0.25">
      <c r="A66" s="163"/>
      <c r="B66" s="239" t="str">
        <f>$W65</f>
        <v/>
      </c>
      <c r="C66" s="165"/>
      <c r="D66" s="165" t="s">
        <v>148</v>
      </c>
      <c r="E66" s="166"/>
      <c r="F66" s="165" t="s">
        <v>146</v>
      </c>
      <c r="G66" s="166"/>
      <c r="H66" s="164" t="s">
        <v>147</v>
      </c>
      <c r="I66" s="167"/>
      <c r="J66" s="167"/>
      <c r="K66" s="168"/>
      <c r="L66" s="26"/>
      <c r="M66" s="26"/>
      <c r="N66" s="26"/>
      <c r="O66" s="26"/>
      <c r="P66" s="26"/>
      <c r="Q66" s="26"/>
      <c r="R66" s="26"/>
      <c r="S66" s="268"/>
      <c r="T66" s="246"/>
      <c r="U66" s="246"/>
      <c r="V66" s="239"/>
      <c r="W66" s="288"/>
      <c r="X66" s="246"/>
      <c r="Y66" s="246"/>
      <c r="Z66" s="246"/>
      <c r="AA66" s="268"/>
      <c r="AB66" s="268"/>
      <c r="AC66" s="268"/>
      <c r="AD66" s="268"/>
      <c r="AE66" s="268"/>
      <c r="AF66" s="268"/>
      <c r="AG66" s="268"/>
      <c r="AH66" s="268"/>
      <c r="AI66" s="268"/>
      <c r="AJ66" s="268"/>
      <c r="AK66" s="268"/>
      <c r="AL66" s="268"/>
      <c r="AM66" s="268"/>
      <c r="AN66" s="268"/>
      <c r="AO66" s="268"/>
    </row>
    <row r="67" spans="1:42" s="277" customFormat="1" ht="26.4" customHeight="1" x14ac:dyDescent="0.25">
      <c r="A67" s="158" t="s">
        <v>131</v>
      </c>
      <c r="B67" s="159">
        <f>IF(AND($E30&lt;&gt;"",$D30=""),$E30,IF(AND($E30="",$D30&lt;&gt;""),$D30,IF(AND($E30="",$F30&lt;&gt;""),$F30,0)))</f>
        <v>0</v>
      </c>
      <c r="C67" s="160" t="s">
        <v>39</v>
      </c>
      <c r="D67" s="169">
        <f>$I$30</f>
        <v>0</v>
      </c>
      <c r="E67" s="160" t="s">
        <v>40</v>
      </c>
      <c r="F67" s="169">
        <f>IF((YEAR(K$59)-YEAR(X44))*12+MONTH(K$59)-MONTH(X44)&lt;0,0,(YEAR(K$59)-YEAR(X44))*12+MONTH(K$59)-MONTH(X44))</f>
        <v>59</v>
      </c>
      <c r="G67" s="160" t="s">
        <v>41</v>
      </c>
      <c r="H67" s="159" t="str">
        <f>IF(AND(D30&lt;=0,OR(X30=1,V67=FALSE)),"S/O",
IF($I30&lt;F67,B67,
(B67/D67)*F67))</f>
        <v>S/O</v>
      </c>
      <c r="I67" s="170"/>
      <c r="J67" s="170"/>
      <c r="K67" s="171"/>
      <c r="L67" s="98"/>
      <c r="M67" s="98"/>
      <c r="N67" s="98"/>
      <c r="O67" s="98"/>
      <c r="P67" s="98"/>
      <c r="Q67" s="98"/>
      <c r="R67" s="98"/>
      <c r="S67" s="276"/>
      <c r="T67" s="276"/>
      <c r="U67" s="276"/>
      <c r="V67" s="238" t="b">
        <f>AND(E30&gt;0,J30="Canadien",K30="Non")</f>
        <v>0</v>
      </c>
      <c r="W67" s="295" t="str">
        <f>IF(X30&gt;0,"S/O",
IF(AND($E30&gt;0,K30="Oui"),"S/O (dist. apparenté au requérant)",
IF(AND($E30&gt;0,$X30=0,$J30="Canadien",$K30=""),"Information manquante",
IF(AND($E30&gt;0,$X30=0,$J30="",$K30&lt;&gt;"Oui"),"Information manquante",
IF(AND($E30&gt;0,$X30=0,$J30="Canadien",$K30="Non"),"ADA totale (droits CAN)",
IF(D30&gt;0,"Montant total des droits de diffusion",
IF(OR($J30="International",F30&gt;0),"S/O (droits int.)","")))))))</f>
        <v/>
      </c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  <c r="AM67" s="276"/>
      <c r="AN67" s="276"/>
      <c r="AO67" s="276"/>
    </row>
    <row r="68" spans="1:42" s="67" customFormat="1" ht="26.4" customHeight="1" x14ac:dyDescent="0.25">
      <c r="A68" s="172"/>
      <c r="B68" s="239" t="str">
        <f>$W67</f>
        <v/>
      </c>
      <c r="C68" s="165"/>
      <c r="D68" s="165" t="s">
        <v>148</v>
      </c>
      <c r="E68" s="166"/>
      <c r="F68" s="165" t="s">
        <v>146</v>
      </c>
      <c r="G68" s="166"/>
      <c r="H68" s="164" t="s">
        <v>147</v>
      </c>
      <c r="I68" s="167"/>
      <c r="J68" s="167"/>
      <c r="K68" s="168"/>
      <c r="L68" s="26"/>
      <c r="M68" s="26"/>
      <c r="N68" s="26"/>
      <c r="O68" s="26"/>
      <c r="P68" s="26"/>
      <c r="Q68" s="26"/>
      <c r="R68" s="26"/>
      <c r="S68" s="268"/>
      <c r="T68" s="268"/>
      <c r="U68" s="268"/>
      <c r="V68" s="239"/>
      <c r="W68" s="28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  <c r="AM68" s="268"/>
      <c r="AN68" s="268"/>
      <c r="AO68" s="268"/>
    </row>
    <row r="69" spans="1:42" s="277" customFormat="1" ht="26.4" customHeight="1" x14ac:dyDescent="0.25">
      <c r="A69" s="158" t="s">
        <v>132</v>
      </c>
      <c r="B69" s="159">
        <f>IF(AND($E31&lt;&gt;"",$D31=""),$E31,IF(AND($E31="",$D31&lt;&gt;""),$D31,IF(AND($E31="",$F31&lt;&gt;""),$F31,0)))</f>
        <v>0</v>
      </c>
      <c r="C69" s="160" t="s">
        <v>39</v>
      </c>
      <c r="D69" s="169">
        <f>$I$31</f>
        <v>0</v>
      </c>
      <c r="E69" s="160" t="s">
        <v>40</v>
      </c>
      <c r="F69" s="169">
        <f>IF((YEAR(K$59)-YEAR(X45))*12+MONTH(K$59)-MONTH(X45)&lt;0,0,(YEAR(K$59)-YEAR(X45))*12+MONTH(K$59)-MONTH(X45))</f>
        <v>59</v>
      </c>
      <c r="G69" s="160" t="s">
        <v>41</v>
      </c>
      <c r="H69" s="159" t="str">
        <f>IF(AND(D31&lt;=0,OR(X31=1,V69=FALSE)),"S/O",
IF($I31&lt;F69,B69,
(B69/D69)*F69))</f>
        <v>S/O</v>
      </c>
      <c r="I69" s="170"/>
      <c r="J69" s="170"/>
      <c r="K69" s="171"/>
      <c r="L69" s="98"/>
      <c r="M69" s="98"/>
      <c r="N69" s="98"/>
      <c r="O69" s="98"/>
      <c r="P69" s="98"/>
      <c r="Q69" s="98"/>
      <c r="R69" s="98"/>
      <c r="S69" s="276"/>
      <c r="T69" s="276"/>
      <c r="U69" s="276"/>
      <c r="V69" s="238" t="b">
        <f>AND(E31&gt;0,J31="Canadien",K31="Non")</f>
        <v>0</v>
      </c>
      <c r="W69" s="295" t="str">
        <f>IF(X31&gt;0,"S/O",
IF(AND($E31&gt;0,K31="Oui"),"S/O (dist. apparenté au requérant)",
IF(AND($E31&gt;0,$X31=0,$J31="Canadien",$K31=""),"Information manquante",
IF(AND($E31&gt;0,$X31=0,$J31="",$K31&lt;&gt;"Oui"),"Information manquante",
IF(AND($E31&gt;0,$X31=0,$J31="Canadien",$K31="Non"),"ADA totale (droits CAN)",
IF(D31&gt;0,"Montant total des droits de diffusion",
IF(OR($J31="International",F31&gt;0),"S/O (droits int.)","")))))))</f>
        <v/>
      </c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6"/>
      <c r="AK69" s="276"/>
      <c r="AL69" s="276"/>
      <c r="AM69" s="276"/>
      <c r="AN69" s="276"/>
      <c r="AO69" s="276"/>
    </row>
    <row r="70" spans="1:42" s="67" customFormat="1" ht="26.4" customHeight="1" x14ac:dyDescent="0.25">
      <c r="A70" s="174"/>
      <c r="B70" s="240" t="str">
        <f>$W69</f>
        <v/>
      </c>
      <c r="C70" s="176"/>
      <c r="D70" s="176" t="s">
        <v>148</v>
      </c>
      <c r="E70" s="177"/>
      <c r="F70" s="176" t="s">
        <v>146</v>
      </c>
      <c r="G70" s="177"/>
      <c r="H70" s="175" t="s">
        <v>147</v>
      </c>
      <c r="I70" s="178"/>
      <c r="J70" s="178"/>
      <c r="K70" s="179"/>
      <c r="L70" s="26"/>
      <c r="M70" s="26"/>
      <c r="N70" s="26"/>
      <c r="O70" s="26"/>
      <c r="P70" s="26"/>
      <c r="Q70" s="26"/>
      <c r="R70" s="26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</row>
    <row r="71" spans="1:42" s="67" customFormat="1" ht="16.5" customHeight="1" collapsed="1" x14ac:dyDescent="0.25">
      <c r="A71" s="39"/>
      <c r="B71" s="37"/>
      <c r="C71" s="39"/>
      <c r="D71" s="39"/>
      <c r="E71" s="38"/>
      <c r="F71" s="38"/>
      <c r="G71" s="39"/>
      <c r="H71" s="38"/>
      <c r="I71" s="37"/>
      <c r="J71" s="27"/>
      <c r="K71" s="27"/>
      <c r="L71" s="27"/>
      <c r="M71" s="26"/>
      <c r="N71" s="26"/>
      <c r="O71" s="26"/>
      <c r="P71" s="26"/>
      <c r="Q71" s="26"/>
      <c r="R71" s="26"/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268"/>
      <c r="AG71" s="268"/>
      <c r="AH71" s="268"/>
      <c r="AI71" s="268"/>
      <c r="AJ71" s="268"/>
      <c r="AK71" s="268"/>
      <c r="AL71" s="268"/>
      <c r="AM71" s="268"/>
      <c r="AN71" s="268"/>
      <c r="AO71" s="268"/>
      <c r="AP71" s="268"/>
    </row>
    <row r="72" spans="1:42" s="67" customFormat="1" ht="21" customHeight="1" x14ac:dyDescent="0.25">
      <c r="A72" s="36" t="s">
        <v>254</v>
      </c>
      <c r="B72" s="35"/>
      <c r="C72" s="34"/>
      <c r="D72"/>
      <c r="E72"/>
      <c r="F72"/>
      <c r="G72"/>
      <c r="H72" s="286" t="s">
        <v>255</v>
      </c>
      <c r="I72"/>
      <c r="J72" s="526"/>
      <c r="K72" s="527"/>
      <c r="L72" s="26"/>
      <c r="M72" s="26"/>
      <c r="N72" s="26"/>
      <c r="O72" s="26"/>
      <c r="P72" s="26"/>
      <c r="Q72" s="26"/>
      <c r="R72" s="26"/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68"/>
      <c r="AI72" s="268"/>
      <c r="AJ72" s="268"/>
      <c r="AK72" s="268"/>
      <c r="AL72" s="268"/>
      <c r="AM72" s="268"/>
      <c r="AN72" s="268"/>
      <c r="AO72" s="268"/>
      <c r="AP72" s="268"/>
    </row>
    <row r="73" spans="1:42" s="67" customFormat="1" ht="60.75" customHeight="1" x14ac:dyDescent="0.25">
      <c r="A73" s="514">
        <v>21</v>
      </c>
      <c r="B73" s="241" t="s">
        <v>119</v>
      </c>
      <c r="C73" s="255" t="s">
        <v>149</v>
      </c>
      <c r="D73" s="255" t="s">
        <v>150</v>
      </c>
      <c r="E73" s="612" t="s">
        <v>151</v>
      </c>
      <c r="F73" s="612"/>
      <c r="G73" s="256" t="s">
        <v>152</v>
      </c>
      <c r="H73" s="257" t="s">
        <v>153</v>
      </c>
      <c r="I73" s="502"/>
      <c r="J73" s="279">
        <v>3</v>
      </c>
      <c r="K73" s="280">
        <v>3</v>
      </c>
      <c r="L73" s="26"/>
      <c r="M73" s="26"/>
      <c r="N73" s="26"/>
      <c r="O73" s="26"/>
      <c r="P73" s="26"/>
      <c r="Q73" s="26"/>
      <c r="R73" s="26"/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  <c r="AK73" s="268"/>
      <c r="AL73" s="268"/>
      <c r="AM73" s="268"/>
      <c r="AN73" s="268"/>
      <c r="AO73" s="268"/>
    </row>
    <row r="74" spans="1:42" s="67" customFormat="1" ht="24.9" customHeight="1" x14ac:dyDescent="0.25">
      <c r="A74" s="129">
        <v>100000</v>
      </c>
      <c r="B74" s="258" t="s">
        <v>154</v>
      </c>
      <c r="C74" s="259"/>
      <c r="D74" s="260"/>
      <c r="E74" s="261"/>
      <c r="F74" s="262"/>
      <c r="G74" s="261"/>
      <c r="H74" s="117"/>
      <c r="I74" s="502"/>
      <c r="J74" s="123"/>
      <c r="K74" s="124"/>
      <c r="L74" s="26"/>
      <c r="M74" s="26"/>
      <c r="N74" s="26"/>
      <c r="O74" s="26"/>
      <c r="P74" s="26"/>
      <c r="Q74" s="26"/>
      <c r="R74" s="26"/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268"/>
      <c r="AG74" s="268"/>
      <c r="AH74" s="268"/>
      <c r="AI74" s="268"/>
      <c r="AJ74" s="268"/>
      <c r="AK74" s="268"/>
      <c r="AL74" s="268"/>
      <c r="AM74" s="268"/>
      <c r="AN74" s="268"/>
      <c r="AO74" s="268"/>
    </row>
    <row r="75" spans="1:42" s="67" customFormat="1" ht="45" customHeight="1" x14ac:dyDescent="0.25">
      <c r="A75" s="130">
        <f>E4*5%</f>
        <v>0</v>
      </c>
      <c r="B75" s="180" t="s">
        <v>155</v>
      </c>
      <c r="C75" s="181">
        <v>0.3</v>
      </c>
      <c r="D75" s="182" t="str">
        <f>IF(A$73=3,ROUND((C$75*$E$4),0),"S/O")</f>
        <v>S/O</v>
      </c>
      <c r="E75" s="183" t="str">
        <f>IF(D75="S/O","S/O",
IF(ROUND($G$46+$H$46,0)&gt;=ROUND(D75,0),"Oui",
IF(AND(ROUND($G$46+$H$46,0)&gt;=ROUND(75%*D75,0),$G$46+$H$46+MIN(F$32,ROUND(D75-$G$46+$H$46,0))&gt;=ROUND(D75,0)),"Oui","Non")))</f>
        <v>S/O</v>
      </c>
      <c r="F75" s="184"/>
      <c r="G75" s="185" t="str">
        <f>IF(E75="S/O","S/O",ROUND(J$46,0)-ROUND(D75,0))</f>
        <v>S/O</v>
      </c>
      <c r="H75" s="244" t="str">
        <f>IF(E75="S/O","S/O",IF(AND($A$73=3,F$32&gt;0,H$46+G$46&gt;=75%*D75),MAX(ROUND(D75-H$46-G$46,0),0),0))</f>
        <v>S/O</v>
      </c>
      <c r="I75" s="502"/>
      <c r="J75" s="123"/>
      <c r="K75" s="124"/>
      <c r="L75" s="26"/>
      <c r="M75" s="26"/>
      <c r="N75" s="26"/>
      <c r="O75" s="26"/>
      <c r="P75" s="26"/>
      <c r="Q75" s="26"/>
      <c r="R75" s="26"/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68"/>
      <c r="AG75" s="268"/>
      <c r="AH75" s="268"/>
      <c r="AI75" s="268"/>
      <c r="AJ75" s="268"/>
      <c r="AK75" s="268"/>
      <c r="AL75" s="268"/>
      <c r="AM75" s="268"/>
      <c r="AN75" s="268"/>
      <c r="AO75" s="268"/>
    </row>
    <row r="76" spans="1:42" s="67" customFormat="1" ht="54.9" customHeight="1" x14ac:dyDescent="0.25">
      <c r="A76" s="130"/>
      <c r="B76" s="180" t="s">
        <v>156</v>
      </c>
      <c r="C76" s="186">
        <v>0.125</v>
      </c>
      <c r="D76" s="182" t="str">
        <f>IF(A$73=4,ROUND((C$76*$E$4),0),"S/O")</f>
        <v>S/O</v>
      </c>
      <c r="E76" s="183" t="str">
        <f>IF(D76="S/O","S/O",
IF(ROUND($G$46+$H$46,0)&gt;=ROUND(D76,0),"Oui",
IF(AND(ROUND($G$46+$H$46,0)&gt;=ROUND(75%*D76,0),$G$46+$H$46+MIN(F$32,ROUND(D76-$G$46+$H$46,0))&gt;=ROUND(D76,0)),"Oui","Non")))</f>
        <v>S/O</v>
      </c>
      <c r="F76" s="184"/>
      <c r="G76" s="185" t="str">
        <f t="shared" ref="G76:G92" si="9">IF(E76="S/O","S/O",ROUND(J$46,0)-ROUND(D76,0))</f>
        <v>S/O</v>
      </c>
      <c r="H76" s="244" t="str">
        <f>IF(E76="S/O","S/O",IF(AND($A$73=4,F$32&gt;0,H$46+G$46&gt;=75%*D76),MAX(ROUND(D76-H$46-G$46,0),0),0))</f>
        <v>S/O</v>
      </c>
      <c r="I76" s="502"/>
      <c r="J76" s="125"/>
      <c r="K76" s="124"/>
      <c r="L76" s="26"/>
      <c r="M76" s="26"/>
      <c r="N76" s="26"/>
      <c r="O76" s="26"/>
      <c r="P76" s="26"/>
      <c r="Q76" s="26"/>
      <c r="R76" s="26"/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268"/>
      <c r="AG76" s="268"/>
      <c r="AH76" s="268"/>
      <c r="AI76" s="268"/>
      <c r="AJ76" s="268"/>
      <c r="AK76" s="268"/>
      <c r="AL76" s="268"/>
      <c r="AM76" s="268"/>
      <c r="AN76" s="268"/>
      <c r="AO76" s="268"/>
    </row>
    <row r="77" spans="1:42" s="67" customFormat="1" ht="54.9" customHeight="1" x14ac:dyDescent="0.25">
      <c r="A77" s="130"/>
      <c r="B77" s="187" t="s">
        <v>157</v>
      </c>
      <c r="C77" s="188">
        <v>0.1</v>
      </c>
      <c r="D77" s="182" t="str">
        <f>IF(A$73=5,ROUND((C77*$E$4),0),"S/O")</f>
        <v>S/O</v>
      </c>
      <c r="E77" s="183" t="str">
        <f t="shared" ref="E77:E83" si="10">IF(D77="S/O","S/O",
IF(ROUND($G$46+$H$46,0)&gt;=ROUND(D77,0),"Oui",
IF(AND(ROUND($G$46+$H$46,0)&gt;=ROUND(75%*D77,0),$G$46+$H$46+MIN(F$32,ROUND(D77-$G$46+$H$46,0))&gt;=ROUND(D77,0)),"Oui","Non")))</f>
        <v>S/O</v>
      </c>
      <c r="F77" s="184"/>
      <c r="G77" s="185" t="str">
        <f t="shared" si="9"/>
        <v>S/O</v>
      </c>
      <c r="H77" s="244" t="str">
        <f>IF(E77="S/O","S/O",IF(AND($A$73=5,F$32&gt;0,H$46+G$46&gt;=75%*D77),MAX(ROUND(D77-H$46-G$46,0),0),0))</f>
        <v>S/O</v>
      </c>
      <c r="I77" s="125" t="s">
        <v>223</v>
      </c>
      <c r="J77" s="125"/>
      <c r="K77" s="124"/>
      <c r="L77" s="26"/>
      <c r="M77" s="26"/>
      <c r="N77" s="26"/>
      <c r="O77" s="26"/>
      <c r="P77" s="26"/>
      <c r="Q77" s="26"/>
      <c r="R77" s="26"/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  <c r="AM77" s="268"/>
      <c r="AN77" s="268"/>
      <c r="AO77" s="268"/>
    </row>
    <row r="78" spans="1:42" s="67" customFormat="1" ht="65.099999999999994" customHeight="1" x14ac:dyDescent="0.25">
      <c r="A78" s="129"/>
      <c r="B78" s="180" t="s">
        <v>158</v>
      </c>
      <c r="C78" s="188" t="s">
        <v>159</v>
      </c>
      <c r="D78" s="182" t="str">
        <f>IF(A$73=6,IF($A$75&gt;=120000,120000,ROUND(($E$4*5%),0)),"S/O")</f>
        <v>S/O</v>
      </c>
      <c r="E78" s="183" t="str">
        <f t="shared" si="10"/>
        <v>S/O</v>
      </c>
      <c r="F78" s="184"/>
      <c r="G78" s="185" t="str">
        <f t="shared" si="9"/>
        <v>S/O</v>
      </c>
      <c r="H78" s="244" t="str">
        <f>IF(E78="S/O","S/O",IF(AND($A$73=6,F$32&gt;0,H$46+G$46&gt;=75%*D78),MAX(ROUND(D78-H$46-G$46,0),0),0))</f>
        <v>S/O</v>
      </c>
      <c r="I78" s="125" t="s">
        <v>196</v>
      </c>
      <c r="J78" s="125"/>
      <c r="K78" s="124"/>
      <c r="L78" s="26"/>
      <c r="M78" s="26"/>
      <c r="N78" s="26"/>
      <c r="O78" s="26"/>
      <c r="P78" s="26"/>
      <c r="Q78" s="26"/>
      <c r="R78" s="26"/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68"/>
      <c r="AG78" s="268"/>
      <c r="AH78" s="268"/>
      <c r="AI78" s="268"/>
      <c r="AJ78" s="268"/>
      <c r="AK78" s="268"/>
      <c r="AL78" s="268"/>
      <c r="AM78" s="268"/>
      <c r="AN78" s="268"/>
      <c r="AO78" s="268"/>
    </row>
    <row r="79" spans="1:42" s="67" customFormat="1" ht="24.9" customHeight="1" x14ac:dyDescent="0.25">
      <c r="A79" s="129"/>
      <c r="B79" s="189" t="s">
        <v>160</v>
      </c>
      <c r="C79" s="190"/>
      <c r="D79" s="191"/>
      <c r="E79" s="455"/>
      <c r="F79" s="192"/>
      <c r="G79" s="193"/>
      <c r="H79" s="457"/>
      <c r="I79" s="502"/>
      <c r="J79" s="125"/>
      <c r="K79" s="124"/>
      <c r="L79" s="26"/>
      <c r="M79" s="26"/>
      <c r="N79" s="26"/>
      <c r="O79" s="26"/>
      <c r="P79" s="26"/>
      <c r="Q79" s="26"/>
      <c r="R79" s="26"/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268"/>
      <c r="AG79" s="268"/>
      <c r="AH79" s="268"/>
      <c r="AI79" s="268"/>
      <c r="AJ79" s="268"/>
      <c r="AK79" s="268"/>
      <c r="AL79" s="268"/>
      <c r="AM79" s="268"/>
      <c r="AN79" s="268"/>
      <c r="AO79" s="268"/>
    </row>
    <row r="80" spans="1:42" s="67" customFormat="1" ht="54.9" customHeight="1" x14ac:dyDescent="0.25">
      <c r="A80" s="129"/>
      <c r="B80" s="180" t="s">
        <v>161</v>
      </c>
      <c r="C80" s="194">
        <v>0.35</v>
      </c>
      <c r="D80" s="195" t="str">
        <f>IF($A$73=8,ROUND((C80*$E$4),0),"S/O")</f>
        <v>S/O</v>
      </c>
      <c r="E80" s="183" t="str">
        <f t="shared" si="10"/>
        <v>S/O</v>
      </c>
      <c r="F80" s="184"/>
      <c r="G80" s="185" t="str">
        <f t="shared" si="9"/>
        <v>S/O</v>
      </c>
      <c r="H80" s="244" t="str">
        <f>IF(E80="S/O","S/O",IF(AND($A$73=7,F$32&gt;0,H$46+G$46&gt;=75%*D80),MAX(ROUND(D80-H$46-G$46,0),0),0))</f>
        <v>S/O</v>
      </c>
      <c r="I80" s="502"/>
      <c r="J80" s="126"/>
      <c r="K80" s="124"/>
      <c r="L80" s="26"/>
      <c r="M80" s="26"/>
      <c r="N80" s="26"/>
      <c r="O80" s="26"/>
      <c r="P80" s="26"/>
      <c r="Q80" s="26"/>
      <c r="R80" s="26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68"/>
      <c r="AG80" s="268"/>
      <c r="AH80" s="268"/>
      <c r="AI80" s="268"/>
      <c r="AJ80" s="268"/>
      <c r="AK80" s="268"/>
      <c r="AL80" s="268"/>
      <c r="AM80" s="268"/>
      <c r="AN80" s="268"/>
      <c r="AO80" s="268"/>
    </row>
    <row r="81" spans="1:42" s="67" customFormat="1" ht="54.9" customHeight="1" x14ac:dyDescent="0.25">
      <c r="A81" s="129"/>
      <c r="B81" s="180" t="s">
        <v>162</v>
      </c>
      <c r="C81" s="194">
        <v>0.2</v>
      </c>
      <c r="D81" s="195" t="str">
        <f>IF($A$73=9,ROUND((C81*$E$4),0),"S/O")</f>
        <v>S/O</v>
      </c>
      <c r="E81" s="183" t="str">
        <f t="shared" si="10"/>
        <v>S/O</v>
      </c>
      <c r="F81" s="184"/>
      <c r="G81" s="185" t="str">
        <f t="shared" si="9"/>
        <v>S/O</v>
      </c>
      <c r="H81" s="244" t="str">
        <f>IF(E81="S/O","S/O",IF(AND($A$73=8,F$32&gt;0,H$46+G$46&gt;=75%*D81),MAX(ROUND(D81-H$46-G$46,0),0),0))</f>
        <v>S/O</v>
      </c>
      <c r="I81" s="502"/>
      <c r="J81" s="126"/>
      <c r="K81" s="124"/>
      <c r="L81" s="26"/>
      <c r="M81" s="26"/>
      <c r="N81" s="26"/>
      <c r="O81" s="26"/>
      <c r="P81" s="26"/>
      <c r="Q81" s="26"/>
      <c r="R81" s="26"/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68"/>
      <c r="AG81" s="268"/>
      <c r="AH81" s="268"/>
      <c r="AI81" s="268"/>
      <c r="AJ81" s="268"/>
      <c r="AK81" s="268"/>
      <c r="AL81" s="268"/>
      <c r="AM81" s="268"/>
      <c r="AN81" s="268"/>
      <c r="AO81" s="268"/>
    </row>
    <row r="82" spans="1:42" s="67" customFormat="1" ht="65.099999999999994" customHeight="1" x14ac:dyDescent="0.25">
      <c r="A82" s="129"/>
      <c r="B82" s="180" t="s">
        <v>163</v>
      </c>
      <c r="C82" s="194" t="s">
        <v>164</v>
      </c>
      <c r="D82" s="196" t="str">
        <f>IF(A$73=10,IF(60000*$K$4&lt;=$E$4*15%,ROUND((60000*$K$4),0),ROUND(($E$4*15%),0)),"S/O")</f>
        <v>S/O</v>
      </c>
      <c r="E82" s="183" t="str">
        <f t="shared" si="10"/>
        <v>S/O</v>
      </c>
      <c r="F82" s="184"/>
      <c r="G82" s="185" t="str">
        <f t="shared" si="9"/>
        <v>S/O</v>
      </c>
      <c r="H82" s="244" t="str">
        <f>IF(E82="S/O","S/O",IF(AND($A$73=9,F$32&gt;0,H$46+G$46&gt;=75%*D82),MAX(ROUND(D82-H$46-G$46,0),0),0))</f>
        <v>S/O</v>
      </c>
      <c r="I82" s="502"/>
      <c r="J82" s="126"/>
      <c r="K82" s="124"/>
      <c r="L82" s="26"/>
      <c r="M82" s="26"/>
      <c r="N82" s="26"/>
      <c r="O82" s="26"/>
      <c r="P82" s="26"/>
      <c r="Q82" s="26"/>
      <c r="R82" s="26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68"/>
      <c r="AG82" s="268"/>
      <c r="AH82" s="268"/>
      <c r="AI82" s="268"/>
      <c r="AJ82" s="268"/>
      <c r="AK82" s="268"/>
      <c r="AL82" s="268"/>
      <c r="AM82" s="268"/>
      <c r="AN82" s="268"/>
      <c r="AO82" s="268"/>
    </row>
    <row r="83" spans="1:42" s="67" customFormat="1" ht="65.099999999999994" customHeight="1" x14ac:dyDescent="0.25">
      <c r="A83" s="129"/>
      <c r="B83" s="180" t="s">
        <v>165</v>
      </c>
      <c r="C83" s="197" t="s">
        <v>166</v>
      </c>
      <c r="D83" s="195" t="str">
        <f>IF(A$73=11,IF(60000&lt;=$E$4*10%,ROUND((60000),0),ROUND(($E$4*10%),0)),"S/O")</f>
        <v>S/O</v>
      </c>
      <c r="E83" s="183" t="str">
        <f t="shared" si="10"/>
        <v>S/O</v>
      </c>
      <c r="F83" s="184"/>
      <c r="G83" s="185" t="str">
        <f t="shared" si="9"/>
        <v>S/O</v>
      </c>
      <c r="H83" s="244" t="str">
        <f>IF(E83="S/O","S/O",IF(AND($A$73=10,F$32&gt;0,H$46+G$46&gt;=75%*D83),MAX(ROUND(D83-H$46-G$46,0),0),0))</f>
        <v>S/O</v>
      </c>
      <c r="I83" s="502"/>
      <c r="J83" s="126"/>
      <c r="K83" s="124"/>
      <c r="L83" s="26"/>
      <c r="M83" s="26"/>
      <c r="N83" s="26"/>
      <c r="O83" s="26"/>
      <c r="P83" s="26"/>
      <c r="Q83" s="26"/>
      <c r="R83" s="26"/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68"/>
      <c r="AG83" s="268"/>
      <c r="AH83" s="268"/>
      <c r="AI83" s="268"/>
      <c r="AJ83" s="268"/>
      <c r="AK83" s="268"/>
      <c r="AL83" s="268"/>
      <c r="AM83" s="268"/>
      <c r="AN83" s="268"/>
      <c r="AO83" s="268"/>
    </row>
    <row r="84" spans="1:42" s="67" customFormat="1" ht="24.9" customHeight="1" x14ac:dyDescent="0.25">
      <c r="A84" s="129"/>
      <c r="B84" s="198" t="s">
        <v>167</v>
      </c>
      <c r="C84" s="189"/>
      <c r="D84" s="199"/>
      <c r="E84" s="199"/>
      <c r="F84" s="193"/>
      <c r="G84" s="192"/>
      <c r="H84" s="120"/>
      <c r="I84" s="502"/>
      <c r="J84" s="127"/>
      <c r="K84" s="124"/>
      <c r="L84" s="26"/>
      <c r="M84" s="26"/>
      <c r="N84" s="26"/>
      <c r="O84" s="26"/>
      <c r="P84" s="26"/>
      <c r="Q84" s="26"/>
      <c r="R84" s="26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68"/>
      <c r="AG84" s="268"/>
      <c r="AH84" s="268"/>
      <c r="AI84" s="268"/>
      <c r="AJ84" s="268"/>
      <c r="AK84" s="268"/>
      <c r="AL84" s="268"/>
      <c r="AM84" s="268"/>
      <c r="AN84" s="268"/>
      <c r="AO84" s="268"/>
    </row>
    <row r="85" spans="1:42" s="67" customFormat="1" ht="45" customHeight="1" x14ac:dyDescent="0.25">
      <c r="A85" s="129"/>
      <c r="B85" s="180" t="s">
        <v>168</v>
      </c>
      <c r="C85" s="200">
        <v>0.5</v>
      </c>
      <c r="D85" s="201" t="str">
        <f>IF(A$73=13,ROUND((C85*$E$4),0),"S/O")</f>
        <v>S/O</v>
      </c>
      <c r="E85" s="183" t="str">
        <f>IF(D85="S/O","S/O",
IF(ROUND($G$46+$H$46,0)&gt;=ROUND(D85,0),"Oui","Non"))</f>
        <v>S/O</v>
      </c>
      <c r="F85" s="184"/>
      <c r="G85" s="185" t="str">
        <f t="shared" si="9"/>
        <v>S/O</v>
      </c>
      <c r="H85" s="121"/>
      <c r="I85" s="502"/>
      <c r="J85" s="202"/>
      <c r="K85" s="127" t="s">
        <v>169</v>
      </c>
      <c r="L85" s="26"/>
      <c r="M85" s="26"/>
      <c r="N85" s="26"/>
      <c r="O85" s="26"/>
      <c r="P85" s="26"/>
      <c r="Q85" s="26"/>
      <c r="R85" s="26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  <c r="AM85" s="268"/>
      <c r="AN85" s="268"/>
      <c r="AO85" s="268"/>
    </row>
    <row r="86" spans="1:42" s="67" customFormat="1" ht="45" customHeight="1" x14ac:dyDescent="0.25">
      <c r="A86" s="124"/>
      <c r="B86" s="180" t="s">
        <v>170</v>
      </c>
      <c r="C86" s="194">
        <v>0.25</v>
      </c>
      <c r="D86" s="196" t="str">
        <f>IF(A$73=14,ROUND((C86*$E$4),0),"S/O")</f>
        <v>S/O</v>
      </c>
      <c r="E86" s="183" t="str">
        <f t="shared" ref="E86:E92" si="11">IF(D86="S/O","S/O",
IF(ROUND($G$46+$H$46,0)&gt;=ROUND(D86,0),"Oui","Non"))</f>
        <v>S/O</v>
      </c>
      <c r="F86" s="184"/>
      <c r="G86" s="185" t="str">
        <f t="shared" si="9"/>
        <v>S/O</v>
      </c>
      <c r="H86" s="122"/>
      <c r="I86" s="502"/>
      <c r="J86" s="202"/>
      <c r="K86" s="127" t="s">
        <v>171</v>
      </c>
      <c r="L86" s="26"/>
      <c r="M86" s="26"/>
      <c r="N86" s="26"/>
      <c r="O86" s="26"/>
      <c r="P86" s="26"/>
      <c r="Q86" s="26"/>
      <c r="R86" s="26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68"/>
      <c r="AG86" s="268"/>
      <c r="AH86" s="268"/>
      <c r="AI86" s="268"/>
      <c r="AJ86" s="268"/>
      <c r="AK86" s="268"/>
      <c r="AL86" s="268"/>
      <c r="AM86" s="268"/>
      <c r="AN86" s="268"/>
      <c r="AO86" s="268"/>
    </row>
    <row r="87" spans="1:42" s="67" customFormat="1" ht="45" customHeight="1" x14ac:dyDescent="0.25">
      <c r="A87" s="124"/>
      <c r="B87" s="180" t="s">
        <v>172</v>
      </c>
      <c r="C87" s="194">
        <v>0.2</v>
      </c>
      <c r="D87" s="196" t="str">
        <f>IF(A$73=15,ROUND((C87*$E$4),0),"S/O")</f>
        <v>S/O</v>
      </c>
      <c r="E87" s="183" t="str">
        <f t="shared" si="11"/>
        <v>S/O</v>
      </c>
      <c r="F87" s="184"/>
      <c r="G87" s="185" t="str">
        <f t="shared" si="9"/>
        <v>S/O</v>
      </c>
      <c r="H87" s="122"/>
      <c r="I87" s="502"/>
      <c r="J87" s="127"/>
      <c r="K87" s="124"/>
      <c r="L87" s="26"/>
      <c r="M87" s="26"/>
      <c r="N87" s="26"/>
      <c r="O87" s="26"/>
      <c r="P87" s="26"/>
      <c r="Q87" s="26"/>
      <c r="R87" s="26"/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68"/>
      <c r="AG87" s="268"/>
      <c r="AH87" s="268"/>
      <c r="AI87" s="268"/>
      <c r="AJ87" s="268"/>
      <c r="AK87" s="268"/>
      <c r="AL87" s="268"/>
      <c r="AM87" s="268"/>
      <c r="AN87" s="268"/>
      <c r="AO87" s="268"/>
    </row>
    <row r="88" spans="1:42" s="67" customFormat="1" ht="24.9" customHeight="1" x14ac:dyDescent="0.25">
      <c r="A88" s="129"/>
      <c r="B88" s="203" t="s">
        <v>173</v>
      </c>
      <c r="C88" s="204"/>
      <c r="D88" s="205"/>
      <c r="E88" s="199"/>
      <c r="F88" s="206"/>
      <c r="G88" s="192"/>
      <c r="H88" s="119"/>
      <c r="I88" s="502"/>
      <c r="J88" s="126"/>
      <c r="K88" s="124"/>
      <c r="L88" s="30"/>
      <c r="M88" s="26"/>
      <c r="N88" s="26"/>
      <c r="O88" s="26"/>
      <c r="P88" s="26"/>
      <c r="Q88" s="26"/>
      <c r="R88" s="26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  <c r="AM88" s="268"/>
      <c r="AN88" s="268"/>
      <c r="AO88" s="268"/>
    </row>
    <row r="89" spans="1:42" s="67" customFormat="1" ht="45" customHeight="1" x14ac:dyDescent="0.25">
      <c r="A89" s="129"/>
      <c r="B89" s="180" t="s">
        <v>174</v>
      </c>
      <c r="C89" s="194">
        <v>0.5</v>
      </c>
      <c r="D89" s="195" t="str">
        <f>IF($A$73=17,ROUND((C89*$E$4),0),"S/O")</f>
        <v>S/O</v>
      </c>
      <c r="E89" s="183" t="str">
        <f t="shared" si="11"/>
        <v>S/O</v>
      </c>
      <c r="F89" s="184"/>
      <c r="G89" s="185" t="str">
        <f t="shared" si="9"/>
        <v>S/O</v>
      </c>
      <c r="H89" s="207"/>
      <c r="I89" s="502"/>
      <c r="J89" s="127"/>
      <c r="K89" s="128" t="s">
        <v>175</v>
      </c>
      <c r="L89" s="26"/>
      <c r="M89" s="26"/>
      <c r="N89" s="26"/>
      <c r="O89" s="26"/>
      <c r="P89" s="26"/>
      <c r="Q89" s="26"/>
      <c r="R89" s="26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  <c r="AM89" s="268"/>
      <c r="AN89" s="268"/>
      <c r="AO89" s="268"/>
    </row>
    <row r="90" spans="1:42" s="67" customFormat="1" ht="54.9" customHeight="1" x14ac:dyDescent="0.25">
      <c r="A90" s="129"/>
      <c r="B90" s="180" t="s">
        <v>176</v>
      </c>
      <c r="C90" s="194">
        <v>0.23</v>
      </c>
      <c r="D90" s="195" t="str">
        <f>IF($A$73=18,ROUND((C90*$E$4),0),"S/O")</f>
        <v>S/O</v>
      </c>
      <c r="E90" s="183" t="str">
        <f t="shared" si="11"/>
        <v>S/O</v>
      </c>
      <c r="F90" s="184"/>
      <c r="G90" s="185" t="str">
        <f t="shared" si="9"/>
        <v>S/O</v>
      </c>
      <c r="H90" s="207"/>
      <c r="I90" s="502"/>
      <c r="J90" s="127"/>
      <c r="K90" s="128" t="s">
        <v>177</v>
      </c>
      <c r="L90" s="26"/>
      <c r="M90" s="26"/>
      <c r="N90" s="26"/>
      <c r="O90" s="26"/>
      <c r="P90" s="26"/>
      <c r="Q90" s="26"/>
      <c r="R90" s="26"/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68"/>
      <c r="AG90" s="268"/>
      <c r="AH90" s="268"/>
      <c r="AI90" s="268"/>
      <c r="AJ90" s="268"/>
      <c r="AK90" s="268"/>
      <c r="AL90" s="268"/>
      <c r="AM90" s="268"/>
      <c r="AN90" s="268"/>
      <c r="AO90" s="268"/>
    </row>
    <row r="91" spans="1:42" s="67" customFormat="1" ht="65.099999999999994" customHeight="1" x14ac:dyDescent="0.25">
      <c r="A91" s="129"/>
      <c r="B91" s="180" t="s">
        <v>178</v>
      </c>
      <c r="C91" s="194" t="s">
        <v>179</v>
      </c>
      <c r="D91" s="196" t="str">
        <f>IF(A$73=19,IF(195000*$K$4&lt;=$E$4*20%,ROUND((195000*$K$4),0),ROUND(($E$4*20%),0)),"S/O")</f>
        <v>S/O</v>
      </c>
      <c r="E91" s="183" t="str">
        <f t="shared" si="11"/>
        <v>S/O</v>
      </c>
      <c r="F91" s="184"/>
      <c r="G91" s="185" t="str">
        <f t="shared" si="9"/>
        <v>S/O</v>
      </c>
      <c r="H91" s="120"/>
      <c r="I91" s="502"/>
      <c r="J91" s="127"/>
      <c r="K91" s="124"/>
      <c r="L91" s="26"/>
      <c r="M91" s="26"/>
      <c r="N91" s="26"/>
      <c r="O91" s="26"/>
      <c r="P91" s="26"/>
      <c r="Q91" s="26"/>
      <c r="R91" s="26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  <c r="AM91" s="268"/>
      <c r="AN91" s="268"/>
      <c r="AO91" s="268"/>
    </row>
    <row r="92" spans="1:42" s="67" customFormat="1" ht="24.9" customHeight="1" x14ac:dyDescent="0.25">
      <c r="A92" s="129"/>
      <c r="B92" s="180" t="s">
        <v>180</v>
      </c>
      <c r="C92" s="197">
        <v>150000</v>
      </c>
      <c r="D92" s="196" t="str">
        <f>IF(A$73=20,ROUND((C92),0),"S/O")</f>
        <v>S/O</v>
      </c>
      <c r="E92" s="183" t="str">
        <f t="shared" si="11"/>
        <v>S/O</v>
      </c>
      <c r="F92" s="184"/>
      <c r="G92" s="185" t="str">
        <f t="shared" si="9"/>
        <v>S/O</v>
      </c>
      <c r="H92" s="118"/>
      <c r="I92" s="502"/>
      <c r="J92" s="127"/>
      <c r="K92" s="124"/>
      <c r="L92" s="26"/>
      <c r="M92" s="26"/>
      <c r="N92" s="26"/>
      <c r="O92" s="26"/>
      <c r="P92" s="26"/>
      <c r="Q92" s="26"/>
      <c r="R92" s="26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68"/>
      <c r="AH92" s="268"/>
      <c r="AI92" s="268"/>
      <c r="AJ92" s="268"/>
      <c r="AK92" s="268"/>
      <c r="AL92" s="268"/>
      <c r="AM92" s="268"/>
      <c r="AN92" s="268"/>
      <c r="AO92" s="268"/>
    </row>
    <row r="93" spans="1:42" s="67" customFormat="1" ht="18" customHeight="1" x14ac:dyDescent="0.25">
      <c r="A93" s="263"/>
      <c r="B93" s="264"/>
      <c r="C93" s="265"/>
      <c r="D93" s="266"/>
      <c r="E93" s="266"/>
      <c r="F93" s="266"/>
      <c r="G93" s="266"/>
      <c r="H93" s="263"/>
      <c r="I93" s="263"/>
      <c r="J93" s="263"/>
      <c r="K93" s="263"/>
      <c r="L93" s="26"/>
      <c r="M93" s="26"/>
      <c r="N93" s="26"/>
      <c r="O93" s="26"/>
      <c r="P93" s="26"/>
      <c r="Q93" s="26"/>
      <c r="R93" s="26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8"/>
      <c r="AL93" s="268"/>
      <c r="AM93" s="268"/>
      <c r="AN93" s="268"/>
      <c r="AO93" s="268"/>
      <c r="AP93" s="268"/>
    </row>
    <row r="94" spans="1:42" s="67" customFormat="1" ht="23.25" customHeight="1" x14ac:dyDescent="0.25">
      <c r="A94" s="613" t="s">
        <v>181</v>
      </c>
      <c r="B94" s="613"/>
      <c r="C94" s="613"/>
      <c r="D94" s="28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</row>
    <row r="95" spans="1:42" s="67" customFormat="1" ht="38.4" customHeight="1" x14ac:dyDescent="0.25">
      <c r="A95" s="208"/>
      <c r="B95" s="208"/>
      <c r="C95" s="614" t="s">
        <v>182</v>
      </c>
      <c r="D95" s="615"/>
      <c r="E95" s="615"/>
      <c r="F95" s="616" t="s">
        <v>217</v>
      </c>
      <c r="G95" s="615"/>
      <c r="H95" s="615"/>
      <c r="I95" s="617" t="s">
        <v>183</v>
      </c>
      <c r="J95" s="615"/>
      <c r="K95" s="615"/>
      <c r="L95" s="26"/>
      <c r="M95" s="26"/>
      <c r="N95" s="26"/>
      <c r="O95" s="26"/>
      <c r="P95" s="26"/>
      <c r="Q95" s="26"/>
      <c r="R95" s="26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</row>
    <row r="96" spans="1:42" s="67" customFormat="1" ht="45" customHeight="1" x14ac:dyDescent="0.25">
      <c r="A96" s="208"/>
      <c r="B96" s="208"/>
      <c r="C96" s="212" t="s">
        <v>184</v>
      </c>
      <c r="D96" s="209" t="s">
        <v>185</v>
      </c>
      <c r="E96" s="212" t="s">
        <v>186</v>
      </c>
      <c r="F96" s="210" t="s">
        <v>187</v>
      </c>
      <c r="G96" s="213" t="s">
        <v>185</v>
      </c>
      <c r="H96" s="210" t="s">
        <v>186</v>
      </c>
      <c r="I96" s="211" t="s">
        <v>188</v>
      </c>
      <c r="J96" s="214" t="s">
        <v>185</v>
      </c>
      <c r="K96" s="214" t="s">
        <v>186</v>
      </c>
      <c r="L96" s="26"/>
      <c r="M96" s="26"/>
      <c r="N96" s="26"/>
      <c r="O96" s="26"/>
      <c r="P96" s="26"/>
      <c r="Q96" s="26"/>
      <c r="R96" s="26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</row>
    <row r="97" spans="1:44" s="67" customFormat="1" ht="39.9" customHeight="1" x14ac:dyDescent="0.25">
      <c r="A97" s="215" t="s">
        <v>189</v>
      </c>
      <c r="B97" s="188" t="s">
        <v>190</v>
      </c>
      <c r="C97" s="216" t="str">
        <f>IF(AND(E10&lt;&gt;"Oui",$C$32&gt;0),ROUND($F$8*$E$4,0),"S/O")</f>
        <v>S/O</v>
      </c>
      <c r="D97" s="217" t="str">
        <f>IF(C97="S/O","S/O",IF($C$32&gt;C97,"Non","Oui"))</f>
        <v>S/O</v>
      </c>
      <c r="E97" s="217" t="str">
        <f>IF(D97="Non",$C$32-C97,"S/O")</f>
        <v>S/O</v>
      </c>
      <c r="F97" s="216" t="str">
        <f>IF(AND(E10&lt;&gt;"Oui",$C$32&gt;0),ROUND(F8*$E$4,0),"S/O")</f>
        <v>S/O</v>
      </c>
      <c r="G97" s="217" t="str">
        <f>IF(F97="S/O","S/O",IF($C$32&gt;F97,"Non","Oui"))</f>
        <v>S/O</v>
      </c>
      <c r="H97" s="217" t="str">
        <f>IF(G97="Non",$C$32-F97,"S/O")</f>
        <v>S/O</v>
      </c>
      <c r="I97" s="607" t="str">
        <f>IF(B47="Mesure incitative","",B47)</f>
        <v/>
      </c>
      <c r="J97" s="608"/>
      <c r="K97" s="609"/>
      <c r="L97" s="26"/>
      <c r="M97" s="26"/>
      <c r="N97" s="26"/>
      <c r="O97" s="26"/>
      <c r="P97" s="26"/>
      <c r="Q97" s="26"/>
      <c r="R97" s="26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</row>
    <row r="98" spans="1:44" s="247" customFormat="1" ht="69.900000000000006" customHeight="1" x14ac:dyDescent="0.25">
      <c r="A98" s="218" t="str">
        <f>K89</f>
        <v>Mesure incitative pour les projets nordiques</v>
      </c>
      <c r="B98" s="219" t="s">
        <v>191</v>
      </c>
      <c r="C98" s="220" t="str">
        <f>IF(AND($K$73=1,$E$10="Oui"),MIN(N(F98)+N(I98),ROUND(0.84*$E$4,0)),"S/O")</f>
        <v>S/O</v>
      </c>
      <c r="D98" s="221" t="str">
        <f>IF(AND($K$73=1,$E$10="Oui"),
IF(OR($E$11+$C$32&gt;C98,G98="Non",J98="Non"),"Non","Oui"),"S/O")</f>
        <v>S/O</v>
      </c>
      <c r="E98" s="220" t="str">
        <f>IF(D98="Non",MAX($E$11+$C$32-N(C98),N(H98)+N(K98)),"S/O")</f>
        <v>S/O</v>
      </c>
      <c r="F98" s="220" t="str">
        <f>IF(AND($K$73=1,$E$10="Oui"),IF($C$32&gt;0,ROUND($F$8*$E$4,0),"S/O"),"S/O")</f>
        <v>S/O</v>
      </c>
      <c r="G98" s="221" t="str">
        <f>IF(F98="S/O","S/O",IF($C$32&gt;F98,"Non","Oui"))</f>
        <v>S/O</v>
      </c>
      <c r="H98" s="220" t="str">
        <f>IF(G98="Non",$C$32-F98,"S/O")</f>
        <v>S/O</v>
      </c>
      <c r="I98" s="220" t="str">
        <f>IF(AND($K$73=1,$E$10="Oui"),MIN(ROUND(0.3*$E$4,0),200000),"S/O")</f>
        <v>S/O</v>
      </c>
      <c r="J98" s="221" t="str">
        <f>IF(I98="S/O","S/O",IF($E$11&gt;I98,"Non","Oui"))</f>
        <v>S/O</v>
      </c>
      <c r="K98" s="220" t="str">
        <f>IF(J98="Non",$E$11-I98,"S/O")</f>
        <v>S/O</v>
      </c>
      <c r="L98" s="1"/>
      <c r="M98" s="1"/>
      <c r="N98" s="1"/>
      <c r="O98" s="1"/>
      <c r="P98" s="1"/>
      <c r="Q98" s="1"/>
      <c r="R98" s="1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8"/>
      <c r="AO98" s="248"/>
      <c r="AP98" s="248"/>
      <c r="AQ98" s="248"/>
      <c r="AR98" s="248"/>
    </row>
    <row r="99" spans="1:44" s="247" customFormat="1" ht="80.099999999999994" customHeight="1" x14ac:dyDescent="0.25">
      <c r="A99" s="218" t="s">
        <v>177</v>
      </c>
      <c r="B99" s="219" t="s">
        <v>192</v>
      </c>
      <c r="C99" s="220" t="str">
        <f>IF(AND($K$73=2,$E$10="Oui"),MIN(N(F99)+N(I99),ROUND(0.84*$E$4,0)),"S/O")</f>
        <v>S/O</v>
      </c>
      <c r="D99" s="221" t="str">
        <f>IF(OR(F$99="S/O",I$99="S/O"),"S/O",IF(AND($K$73=2,$E$10="Oui"),
IF(OR($E$11+$C$32&gt;C99,G99="Non",J99="Non"),"Non","Oui"),"S/O"))</f>
        <v>S/O</v>
      </c>
      <c r="E99" s="220" t="str">
        <f>IF(D99="Non",MAX($E$11+$C$32-N(C99),N(H99)+N(K99)),"S/O")</f>
        <v>S/O</v>
      </c>
      <c r="F99" s="220" t="str">
        <f>IF(AND($K$73=2,$E$10="Oui"),IF($C$32&gt;0,ROUND($F$8*$E$4,0),"S/O"),"S/O")</f>
        <v>S/O</v>
      </c>
      <c r="G99" s="221" t="str">
        <f>IF(F99="S/O","S/O",IF(OR($C$32&gt;F99,F99=0),"Non","Oui"))</f>
        <v>S/O</v>
      </c>
      <c r="H99" s="220" t="str">
        <f>IF(G99="Non",$C$32-F99,"S/O")</f>
        <v>S/O</v>
      </c>
      <c r="I99" s="220" t="str">
        <f>IF(AND($K$73=2,$E$10="Oui",C32&gt;0),MIN(ROUND(0.15*$E$4,0),225000),"S/O")</f>
        <v>S/O</v>
      </c>
      <c r="J99" s="221" t="str">
        <f>IF(I99="S/O","S/O",IF($E$11&gt;I99,"Non","Oui"))</f>
        <v>S/O</v>
      </c>
      <c r="K99" s="220" t="str">
        <f>IF(J99="Non",$E$11-I99,"S/O")</f>
        <v>S/O</v>
      </c>
      <c r="L99" s="1"/>
      <c r="M99" s="1"/>
      <c r="N99" s="1"/>
      <c r="O99" s="1"/>
      <c r="P99" s="1"/>
      <c r="Q99" s="1"/>
      <c r="R99" s="1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  <c r="AK99" s="245"/>
      <c r="AL99" s="245"/>
      <c r="AM99" s="245"/>
      <c r="AN99" s="245"/>
      <c r="AO99" s="245"/>
      <c r="AP99" s="245"/>
      <c r="AQ99" s="248"/>
      <c r="AR99" s="248"/>
    </row>
    <row r="100" spans="1:44" s="67" customFormat="1" x14ac:dyDescent="0.25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  <c r="AM100" s="268"/>
      <c r="AN100" s="268"/>
      <c r="AO100" s="268"/>
      <c r="AP100" s="268"/>
    </row>
    <row r="101" spans="1:44" s="67" customFormat="1" ht="18" customHeight="1" x14ac:dyDescent="0.25">
      <c r="A101" s="104"/>
      <c r="B101" s="104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  <c r="AM101" s="268"/>
      <c r="AN101" s="268"/>
      <c r="AO101" s="268"/>
      <c r="AP101" s="268"/>
    </row>
    <row r="102" spans="1:44" s="67" customFormat="1" ht="30" customHeight="1" x14ac:dyDescent="0.25">
      <c r="A102" s="115"/>
      <c r="B102"/>
      <c r="C102"/>
      <c r="D102"/>
      <c r="E102"/>
      <c r="F102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  <c r="AM102" s="268"/>
      <c r="AN102" s="268"/>
      <c r="AO102" s="268"/>
      <c r="AP102" s="268"/>
    </row>
    <row r="103" spans="1:44" s="67" customFormat="1" ht="30" customHeight="1" x14ac:dyDescent="0.25">
      <c r="A103" s="28"/>
      <c r="B103" s="28"/>
      <c r="C103"/>
      <c r="D103"/>
      <c r="E103"/>
      <c r="F103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  <c r="AM103" s="268"/>
      <c r="AN103" s="268"/>
      <c r="AO103" s="268"/>
      <c r="AP103" s="268"/>
    </row>
    <row r="104" spans="1:44" s="67" customFormat="1" x14ac:dyDescent="0.25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  <c r="AM104" s="268"/>
      <c r="AN104" s="268"/>
      <c r="AO104" s="268"/>
      <c r="AP104" s="268"/>
    </row>
    <row r="105" spans="1:44" s="67" customFormat="1" x14ac:dyDescent="0.25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  <c r="AM105" s="268"/>
      <c r="AN105" s="268"/>
      <c r="AO105" s="268"/>
      <c r="AP105" s="268"/>
    </row>
    <row r="106" spans="1:44" s="67" customFormat="1" x14ac:dyDescent="0.25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  <c r="AM106" s="268"/>
      <c r="AN106" s="268"/>
      <c r="AO106" s="268"/>
      <c r="AP106" s="268"/>
    </row>
    <row r="107" spans="1:44" s="67" customFormat="1" x14ac:dyDescent="0.25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  <c r="AM107" s="268"/>
      <c r="AN107" s="268"/>
      <c r="AO107" s="268"/>
      <c r="AP107" s="268"/>
    </row>
    <row r="108" spans="1:44" s="67" customFormat="1" x14ac:dyDescent="0.25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  <c r="AM108" s="268"/>
      <c r="AN108" s="268"/>
      <c r="AO108" s="268"/>
      <c r="AP108" s="268"/>
    </row>
    <row r="109" spans="1:44" s="67" customFormat="1" x14ac:dyDescent="0.25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  <c r="AM109" s="268"/>
      <c r="AN109" s="268"/>
      <c r="AO109" s="268"/>
      <c r="AP109" s="268"/>
    </row>
    <row r="110" spans="1:44" s="67" customFormat="1" x14ac:dyDescent="0.25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  <c r="AM110" s="268"/>
      <c r="AN110" s="268"/>
      <c r="AO110" s="268"/>
      <c r="AP110" s="268"/>
    </row>
    <row r="111" spans="1:44" s="67" customFormat="1" x14ac:dyDescent="0.25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  <c r="AM111" s="268"/>
      <c r="AN111" s="268"/>
      <c r="AO111" s="268"/>
      <c r="AP111" s="268"/>
    </row>
    <row r="112" spans="1:44" s="67" customFormat="1" x14ac:dyDescent="0.25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  <c r="AM112" s="268"/>
      <c r="AN112" s="268"/>
      <c r="AO112" s="268"/>
      <c r="AP112" s="268"/>
    </row>
    <row r="113" spans="1:42" s="67" customFormat="1" x14ac:dyDescent="0.25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  <c r="AM113" s="268"/>
      <c r="AN113" s="268"/>
      <c r="AO113" s="268"/>
      <c r="AP113" s="268"/>
    </row>
    <row r="114" spans="1:42" s="67" customFormat="1" x14ac:dyDescent="0.25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  <c r="AM114" s="268"/>
      <c r="AN114" s="268"/>
      <c r="AO114" s="268"/>
      <c r="AP114" s="268"/>
    </row>
    <row r="115" spans="1:42" s="67" customFormat="1" x14ac:dyDescent="0.25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  <c r="AM115" s="268"/>
      <c r="AN115" s="268"/>
      <c r="AO115" s="268"/>
      <c r="AP115" s="268"/>
    </row>
    <row r="116" spans="1:42" s="67" customFormat="1" x14ac:dyDescent="0.25">
      <c r="A116" s="268"/>
      <c r="B116" s="271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  <c r="AM116" s="268"/>
      <c r="AN116" s="268"/>
      <c r="AO116" s="268"/>
      <c r="AP116" s="268"/>
    </row>
    <row r="117" spans="1:42" s="67" customFormat="1" x14ac:dyDescent="0.25">
      <c r="A117" s="268"/>
      <c r="B117" s="271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  <c r="AM117" s="268"/>
      <c r="AN117" s="268"/>
      <c r="AO117" s="268"/>
      <c r="AP117" s="268"/>
    </row>
    <row r="118" spans="1:42" s="67" customFormat="1" x14ac:dyDescent="0.25">
      <c r="A118" s="268"/>
      <c r="B118" s="271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  <c r="AM118" s="268"/>
      <c r="AN118" s="268"/>
      <c r="AO118" s="268"/>
      <c r="AP118" s="268"/>
    </row>
    <row r="119" spans="1:42" s="67" customFormat="1" x14ac:dyDescent="0.25">
      <c r="A119" s="268"/>
      <c r="B119" s="271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  <c r="AM119" s="268"/>
      <c r="AN119" s="268"/>
      <c r="AO119" s="268"/>
      <c r="AP119" s="268"/>
    </row>
    <row r="120" spans="1:42" s="67" customFormat="1" x14ac:dyDescent="0.25">
      <c r="A120" s="268"/>
      <c r="B120" s="271"/>
      <c r="C120" s="26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268"/>
      <c r="R120" s="268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  <c r="AM120" s="268"/>
      <c r="AN120" s="268"/>
      <c r="AO120" s="268"/>
      <c r="AP120" s="268"/>
    </row>
    <row r="121" spans="1:42" s="67" customFormat="1" x14ac:dyDescent="0.25">
      <c r="A121" s="268"/>
      <c r="B121" s="271"/>
      <c r="C121" s="268"/>
      <c r="D121" s="268"/>
      <c r="E121" s="268"/>
      <c r="F121" s="268"/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  <c r="AM121" s="268"/>
      <c r="AN121" s="268"/>
      <c r="AO121" s="268"/>
      <c r="AP121" s="268"/>
    </row>
    <row r="122" spans="1:42" s="67" customFormat="1" x14ac:dyDescent="0.25">
      <c r="A122" s="268"/>
      <c r="B122" s="271"/>
      <c r="C122" s="268"/>
      <c r="D122" s="268"/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  <c r="AM122" s="268"/>
      <c r="AN122" s="268"/>
      <c r="AO122" s="268"/>
      <c r="AP122" s="268"/>
    </row>
    <row r="123" spans="1:42" s="67" customFormat="1" x14ac:dyDescent="0.25">
      <c r="A123" s="268"/>
      <c r="B123" s="271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  <c r="O123" s="268"/>
      <c r="P123" s="268"/>
      <c r="Q123" s="268"/>
      <c r="R123" s="268"/>
      <c r="S123" s="268"/>
      <c r="T123" s="268"/>
      <c r="U123" s="268"/>
      <c r="V123" s="268"/>
      <c r="W123" s="268"/>
      <c r="X123" s="268"/>
      <c r="Y123" s="268"/>
      <c r="Z123" s="268"/>
      <c r="AA123" s="268"/>
      <c r="AB123" s="268"/>
      <c r="AC123" s="268"/>
      <c r="AD123" s="268"/>
      <c r="AE123" s="268"/>
      <c r="AF123" s="268"/>
      <c r="AG123" s="268"/>
      <c r="AH123" s="268"/>
      <c r="AI123" s="268"/>
      <c r="AJ123" s="268"/>
      <c r="AK123" s="268"/>
      <c r="AL123" s="268"/>
      <c r="AM123" s="268"/>
      <c r="AN123" s="268"/>
      <c r="AO123" s="268"/>
      <c r="AP123" s="268"/>
    </row>
    <row r="124" spans="1:42" s="67" customFormat="1" x14ac:dyDescent="0.25">
      <c r="A124" s="268"/>
      <c r="B124" s="271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8"/>
      <c r="AE124" s="268"/>
      <c r="AF124" s="268"/>
      <c r="AG124" s="268"/>
      <c r="AH124" s="268"/>
      <c r="AI124" s="268"/>
      <c r="AJ124" s="268"/>
      <c r="AK124" s="268"/>
      <c r="AL124" s="268"/>
      <c r="AM124" s="268"/>
      <c r="AN124" s="268"/>
      <c r="AO124" s="268"/>
      <c r="AP124" s="268"/>
    </row>
    <row r="125" spans="1:42" s="67" customFormat="1" x14ac:dyDescent="0.25">
      <c r="A125" s="268"/>
      <c r="B125" s="271"/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  <c r="X125" s="268"/>
      <c r="Y125" s="268"/>
      <c r="Z125" s="268"/>
      <c r="AA125" s="268"/>
      <c r="AB125" s="268"/>
      <c r="AC125" s="268"/>
      <c r="AD125" s="268"/>
      <c r="AE125" s="268"/>
      <c r="AF125" s="268"/>
      <c r="AG125" s="268"/>
      <c r="AH125" s="268"/>
      <c r="AI125" s="268"/>
      <c r="AJ125" s="268"/>
      <c r="AK125" s="268"/>
      <c r="AL125" s="268"/>
      <c r="AM125" s="268"/>
      <c r="AN125" s="268"/>
      <c r="AO125" s="268"/>
      <c r="AP125" s="268"/>
    </row>
    <row r="126" spans="1:42" s="67" customFormat="1" x14ac:dyDescent="0.25">
      <c r="A126" s="268"/>
      <c r="B126" s="271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  <c r="AM126" s="268"/>
      <c r="AN126" s="268"/>
      <c r="AO126" s="268"/>
      <c r="AP126" s="268"/>
    </row>
    <row r="127" spans="1:42" s="67" customFormat="1" x14ac:dyDescent="0.25">
      <c r="A127" s="268"/>
      <c r="B127" s="271"/>
      <c r="C127" s="268"/>
      <c r="D127" s="268"/>
      <c r="E127" s="268"/>
      <c r="F127" s="268"/>
      <c r="G127" s="268"/>
      <c r="H127" s="268"/>
      <c r="I127" s="268"/>
      <c r="J127" s="268"/>
      <c r="K127" s="268"/>
      <c r="L127" s="268"/>
      <c r="M127" s="268"/>
      <c r="N127" s="268"/>
      <c r="O127" s="268"/>
      <c r="P127" s="268"/>
      <c r="Q127" s="268"/>
      <c r="R127" s="268"/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  <c r="AM127" s="268"/>
      <c r="AN127" s="268"/>
      <c r="AO127" s="268"/>
      <c r="AP127" s="268"/>
    </row>
    <row r="128" spans="1:42" s="67" customFormat="1" x14ac:dyDescent="0.25">
      <c r="A128" s="268"/>
      <c r="B128" s="271"/>
      <c r="C128" s="268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  <c r="AM128" s="268"/>
      <c r="AN128" s="268"/>
      <c r="AO128" s="268"/>
      <c r="AP128" s="268"/>
    </row>
    <row r="129" spans="1:42" s="67" customFormat="1" x14ac:dyDescent="0.25">
      <c r="A129" s="268"/>
      <c r="B129" s="271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  <c r="T129" s="268"/>
      <c r="U129" s="268"/>
      <c r="V129" s="268"/>
      <c r="W129" s="268"/>
      <c r="X129" s="268"/>
      <c r="Y129" s="268"/>
      <c r="Z129" s="268"/>
      <c r="AA129" s="268"/>
      <c r="AB129" s="268"/>
      <c r="AC129" s="268"/>
      <c r="AD129" s="268"/>
      <c r="AE129" s="268"/>
      <c r="AF129" s="268"/>
      <c r="AG129" s="268"/>
      <c r="AH129" s="268"/>
      <c r="AI129" s="268"/>
      <c r="AJ129" s="268"/>
      <c r="AK129" s="268"/>
      <c r="AL129" s="268"/>
      <c r="AM129" s="268"/>
      <c r="AN129" s="268"/>
      <c r="AO129" s="268"/>
      <c r="AP129" s="268"/>
    </row>
    <row r="130" spans="1:42" s="67" customFormat="1" x14ac:dyDescent="0.25">
      <c r="A130" s="268"/>
      <c r="B130" s="271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  <c r="R130" s="268"/>
      <c r="S130" s="268"/>
      <c r="T130" s="268"/>
      <c r="U130" s="268"/>
      <c r="V130" s="268"/>
      <c r="W130" s="268"/>
      <c r="X130" s="268"/>
      <c r="Y130" s="268"/>
      <c r="Z130" s="268"/>
      <c r="AA130" s="268"/>
      <c r="AB130" s="268"/>
      <c r="AC130" s="268"/>
      <c r="AD130" s="268"/>
      <c r="AE130" s="268"/>
      <c r="AF130" s="268"/>
      <c r="AG130" s="268"/>
      <c r="AH130" s="268"/>
      <c r="AI130" s="268"/>
      <c r="AJ130" s="268"/>
      <c r="AK130" s="268"/>
      <c r="AL130" s="268"/>
      <c r="AM130" s="268"/>
      <c r="AN130" s="268"/>
      <c r="AO130" s="268"/>
      <c r="AP130" s="268"/>
    </row>
    <row r="131" spans="1:42" s="67" customFormat="1" x14ac:dyDescent="0.25">
      <c r="A131" s="268"/>
      <c r="B131" s="271"/>
      <c r="C131" s="268"/>
      <c r="D131" s="268"/>
      <c r="E131" s="268"/>
      <c r="F131" s="268"/>
      <c r="G131" s="268"/>
      <c r="H131" s="268"/>
      <c r="I131" s="268"/>
      <c r="J131" s="268"/>
      <c r="K131" s="268"/>
      <c r="L131" s="268"/>
      <c r="M131" s="268"/>
      <c r="N131" s="268"/>
      <c r="O131" s="268"/>
      <c r="P131" s="268"/>
      <c r="Q131" s="268"/>
      <c r="R131" s="268"/>
      <c r="S131" s="268"/>
      <c r="T131" s="268"/>
      <c r="U131" s="268"/>
      <c r="V131" s="268"/>
      <c r="W131" s="268"/>
      <c r="X131" s="268"/>
      <c r="Y131" s="268"/>
      <c r="Z131" s="268"/>
      <c r="AA131" s="268"/>
      <c r="AB131" s="268"/>
      <c r="AC131" s="268"/>
      <c r="AD131" s="268"/>
      <c r="AE131" s="268"/>
      <c r="AF131" s="268"/>
      <c r="AG131" s="268"/>
      <c r="AH131" s="268"/>
      <c r="AI131" s="268"/>
      <c r="AJ131" s="268"/>
      <c r="AK131" s="268"/>
      <c r="AL131" s="268"/>
      <c r="AM131" s="268"/>
      <c r="AN131" s="268"/>
      <c r="AO131" s="268"/>
      <c r="AP131" s="268"/>
    </row>
    <row r="132" spans="1:42" s="67" customFormat="1" x14ac:dyDescent="0.25">
      <c r="A132" s="268"/>
      <c r="B132" s="271"/>
      <c r="C132" s="268"/>
      <c r="D132" s="268"/>
      <c r="E132" s="268"/>
      <c r="F132" s="268"/>
      <c r="G132" s="268"/>
      <c r="H132" s="268"/>
      <c r="I132" s="268"/>
      <c r="J132" s="268"/>
      <c r="K132" s="268"/>
      <c r="L132" s="268"/>
      <c r="M132" s="268"/>
      <c r="N132" s="268"/>
      <c r="O132" s="268"/>
      <c r="P132" s="268"/>
      <c r="Q132" s="268"/>
      <c r="R132" s="268"/>
      <c r="S132" s="268"/>
      <c r="T132" s="268"/>
      <c r="U132" s="268"/>
      <c r="V132" s="268"/>
      <c r="W132" s="268"/>
      <c r="X132" s="268"/>
      <c r="Y132" s="268"/>
      <c r="Z132" s="268"/>
      <c r="AA132" s="268"/>
      <c r="AB132" s="268"/>
      <c r="AC132" s="268"/>
      <c r="AD132" s="268"/>
      <c r="AE132" s="268"/>
      <c r="AF132" s="268"/>
      <c r="AG132" s="268"/>
      <c r="AH132" s="268"/>
      <c r="AI132" s="268"/>
      <c r="AJ132" s="268"/>
      <c r="AK132" s="268"/>
      <c r="AL132" s="268"/>
      <c r="AM132" s="268"/>
      <c r="AN132" s="268"/>
      <c r="AO132" s="268"/>
      <c r="AP132" s="268"/>
    </row>
    <row r="133" spans="1:42" s="67" customFormat="1" x14ac:dyDescent="0.25">
      <c r="A133" s="268"/>
      <c r="B133" s="271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268"/>
      <c r="R133" s="268"/>
      <c r="S133" s="268"/>
      <c r="T133" s="268"/>
      <c r="U133" s="268"/>
      <c r="V133" s="268"/>
      <c r="W133" s="268"/>
      <c r="X133" s="268"/>
      <c r="Y133" s="268"/>
      <c r="Z133" s="268"/>
      <c r="AA133" s="268"/>
      <c r="AB133" s="268"/>
      <c r="AC133" s="268"/>
      <c r="AD133" s="268"/>
      <c r="AE133" s="268"/>
      <c r="AF133" s="268"/>
      <c r="AG133" s="268"/>
      <c r="AH133" s="268"/>
      <c r="AI133" s="268"/>
      <c r="AJ133" s="268"/>
      <c r="AK133" s="268"/>
      <c r="AL133" s="268"/>
      <c r="AM133" s="268"/>
      <c r="AN133" s="268"/>
      <c r="AO133" s="268"/>
      <c r="AP133" s="268"/>
    </row>
    <row r="134" spans="1:42" s="67" customFormat="1" x14ac:dyDescent="0.25">
      <c r="A134" s="268"/>
      <c r="B134" s="271"/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  <c r="X134" s="268"/>
      <c r="Y134" s="268"/>
      <c r="Z134" s="268"/>
      <c r="AA134" s="268"/>
      <c r="AB134" s="268"/>
      <c r="AC134" s="268"/>
      <c r="AD134" s="268"/>
      <c r="AE134" s="268"/>
      <c r="AF134" s="268"/>
      <c r="AG134" s="268"/>
      <c r="AH134" s="268"/>
      <c r="AI134" s="268"/>
      <c r="AJ134" s="268"/>
      <c r="AK134" s="268"/>
      <c r="AL134" s="268"/>
      <c r="AM134" s="268"/>
      <c r="AN134" s="268"/>
      <c r="AO134" s="268"/>
      <c r="AP134" s="268"/>
    </row>
    <row r="135" spans="1:42" s="67" customFormat="1" x14ac:dyDescent="0.25">
      <c r="A135" s="268"/>
      <c r="B135" s="271"/>
      <c r="C135" s="268"/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  <c r="X135" s="268"/>
      <c r="Y135" s="268"/>
      <c r="Z135" s="268"/>
      <c r="AA135" s="268"/>
      <c r="AB135" s="268"/>
      <c r="AC135" s="268"/>
      <c r="AD135" s="268"/>
      <c r="AE135" s="268"/>
      <c r="AF135" s="268"/>
      <c r="AG135" s="268"/>
      <c r="AH135" s="268"/>
      <c r="AI135" s="268"/>
      <c r="AJ135" s="268"/>
      <c r="AK135" s="268"/>
      <c r="AL135" s="268"/>
      <c r="AM135" s="268"/>
      <c r="AN135" s="268"/>
      <c r="AO135" s="268"/>
      <c r="AP135" s="268"/>
    </row>
    <row r="136" spans="1:42" s="67" customFormat="1" x14ac:dyDescent="0.25">
      <c r="A136" s="268"/>
      <c r="B136" s="271"/>
      <c r="C136" s="268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8"/>
      <c r="Z136" s="268"/>
      <c r="AA136" s="268"/>
      <c r="AB136" s="268"/>
      <c r="AC136" s="268"/>
      <c r="AD136" s="268"/>
      <c r="AE136" s="268"/>
      <c r="AF136" s="268"/>
      <c r="AG136" s="268"/>
      <c r="AH136" s="268"/>
      <c r="AI136" s="268"/>
      <c r="AJ136" s="268"/>
      <c r="AK136" s="268"/>
      <c r="AL136" s="268"/>
      <c r="AM136" s="268"/>
      <c r="AN136" s="268"/>
      <c r="AO136" s="268"/>
      <c r="AP136" s="268"/>
    </row>
    <row r="137" spans="1:42" s="67" customFormat="1" x14ac:dyDescent="0.25">
      <c r="A137" s="268"/>
      <c r="B137" s="271"/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8"/>
      <c r="Z137" s="268"/>
      <c r="AA137" s="268"/>
      <c r="AB137" s="268"/>
      <c r="AC137" s="268"/>
      <c r="AD137" s="268"/>
      <c r="AE137" s="268"/>
      <c r="AF137" s="268"/>
      <c r="AG137" s="268"/>
      <c r="AH137" s="268"/>
      <c r="AI137" s="268"/>
      <c r="AJ137" s="268"/>
      <c r="AK137" s="268"/>
      <c r="AL137" s="268"/>
      <c r="AM137" s="268"/>
      <c r="AN137" s="268"/>
      <c r="AO137" s="268"/>
      <c r="AP137" s="268"/>
    </row>
    <row r="138" spans="1:42" s="67" customFormat="1" x14ac:dyDescent="0.25">
      <c r="A138" s="268"/>
      <c r="B138" s="271"/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  <c r="X138" s="268"/>
      <c r="Y138" s="268"/>
      <c r="Z138" s="268"/>
      <c r="AA138" s="268"/>
      <c r="AB138" s="268"/>
      <c r="AC138" s="268"/>
      <c r="AD138" s="268"/>
      <c r="AE138" s="268"/>
      <c r="AF138" s="268"/>
      <c r="AG138" s="268"/>
      <c r="AH138" s="268"/>
      <c r="AI138" s="268"/>
      <c r="AJ138" s="268"/>
      <c r="AK138" s="268"/>
      <c r="AL138" s="268"/>
      <c r="AM138" s="268"/>
      <c r="AN138" s="268"/>
      <c r="AO138" s="268"/>
      <c r="AP138" s="268"/>
    </row>
    <row r="139" spans="1:42" s="67" customFormat="1" x14ac:dyDescent="0.25">
      <c r="A139" s="268"/>
      <c r="B139" s="271"/>
      <c r="C139" s="268"/>
      <c r="D139" s="268"/>
      <c r="E139" s="268"/>
      <c r="F139" s="268"/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68"/>
      <c r="U139" s="268"/>
      <c r="V139" s="268"/>
      <c r="W139" s="268"/>
      <c r="X139" s="268"/>
      <c r="Y139" s="268"/>
      <c r="Z139" s="268"/>
      <c r="AA139" s="268"/>
      <c r="AB139" s="268"/>
      <c r="AC139" s="268"/>
      <c r="AD139" s="268"/>
      <c r="AE139" s="268"/>
      <c r="AF139" s="268"/>
      <c r="AG139" s="268"/>
      <c r="AH139" s="268"/>
      <c r="AI139" s="268"/>
      <c r="AJ139" s="268"/>
      <c r="AK139" s="268"/>
      <c r="AL139" s="268"/>
      <c r="AM139" s="268"/>
      <c r="AN139" s="268"/>
      <c r="AO139" s="268"/>
      <c r="AP139" s="268"/>
    </row>
    <row r="140" spans="1:42" s="67" customFormat="1" x14ac:dyDescent="0.25">
      <c r="A140" s="268"/>
      <c r="B140" s="271"/>
      <c r="C140" s="268"/>
      <c r="D140" s="268"/>
      <c r="E140" s="268"/>
      <c r="F140" s="268"/>
      <c r="G140" s="268"/>
      <c r="H140" s="268"/>
      <c r="I140" s="268"/>
      <c r="J140" s="268"/>
      <c r="K140" s="268"/>
      <c r="L140" s="268"/>
      <c r="M140" s="268"/>
      <c r="N140" s="268"/>
      <c r="O140" s="268"/>
      <c r="P140" s="268"/>
      <c r="Q140" s="268"/>
      <c r="R140" s="268"/>
      <c r="S140" s="268"/>
      <c r="T140" s="268"/>
      <c r="U140" s="268"/>
      <c r="V140" s="268"/>
      <c r="W140" s="268"/>
      <c r="X140" s="268"/>
      <c r="Y140" s="268"/>
      <c r="Z140" s="268"/>
      <c r="AA140" s="268"/>
      <c r="AB140" s="268"/>
      <c r="AC140" s="268"/>
      <c r="AD140" s="268"/>
      <c r="AE140" s="268"/>
      <c r="AF140" s="268"/>
      <c r="AG140" s="268"/>
      <c r="AH140" s="268"/>
      <c r="AI140" s="268"/>
      <c r="AJ140" s="268"/>
      <c r="AK140" s="268"/>
      <c r="AL140" s="268"/>
      <c r="AM140" s="268"/>
      <c r="AN140" s="268"/>
      <c r="AO140" s="268"/>
      <c r="AP140" s="268"/>
    </row>
    <row r="141" spans="1:42" s="67" customFormat="1" x14ac:dyDescent="0.25">
      <c r="A141" s="268"/>
      <c r="B141" s="271"/>
      <c r="C141" s="268"/>
      <c r="D141" s="268"/>
      <c r="E141" s="268"/>
      <c r="F141" s="268"/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  <c r="X141" s="268"/>
      <c r="Y141" s="268"/>
      <c r="Z141" s="268"/>
      <c r="AA141" s="268"/>
      <c r="AB141" s="268"/>
      <c r="AC141" s="268"/>
      <c r="AD141" s="268"/>
      <c r="AE141" s="268"/>
      <c r="AF141" s="268"/>
      <c r="AG141" s="268"/>
      <c r="AH141" s="268"/>
      <c r="AI141" s="268"/>
      <c r="AJ141" s="268"/>
      <c r="AK141" s="268"/>
      <c r="AL141" s="268"/>
      <c r="AM141" s="268"/>
      <c r="AN141" s="268"/>
      <c r="AO141" s="268"/>
      <c r="AP141" s="268"/>
    </row>
    <row r="142" spans="1:42" s="67" customFormat="1" x14ac:dyDescent="0.25">
      <c r="A142" s="268"/>
      <c r="B142" s="271"/>
      <c r="C142" s="268"/>
      <c r="D142" s="268"/>
      <c r="E142" s="268"/>
      <c r="F142" s="268"/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  <c r="X142" s="268"/>
      <c r="Y142" s="268"/>
      <c r="Z142" s="268"/>
      <c r="AA142" s="268"/>
      <c r="AB142" s="268"/>
      <c r="AC142" s="268"/>
      <c r="AD142" s="268"/>
      <c r="AE142" s="268"/>
      <c r="AF142" s="268"/>
      <c r="AG142" s="268"/>
      <c r="AH142" s="268"/>
      <c r="AI142" s="268"/>
      <c r="AJ142" s="268"/>
      <c r="AK142" s="268"/>
      <c r="AL142" s="268"/>
      <c r="AM142" s="268"/>
      <c r="AN142" s="268"/>
      <c r="AO142" s="268"/>
      <c r="AP142" s="268"/>
    </row>
    <row r="143" spans="1:42" s="67" customFormat="1" x14ac:dyDescent="0.25">
      <c r="A143" s="268"/>
      <c r="B143" s="271"/>
      <c r="C143" s="268"/>
      <c r="D143" s="268"/>
      <c r="E143" s="268"/>
      <c r="F143" s="268"/>
      <c r="G143" s="268"/>
      <c r="H143" s="268"/>
      <c r="I143" s="268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  <c r="X143" s="268"/>
      <c r="Y143" s="268"/>
      <c r="Z143" s="268"/>
      <c r="AA143" s="268"/>
      <c r="AB143" s="268"/>
      <c r="AC143" s="268"/>
      <c r="AD143" s="268"/>
      <c r="AE143" s="268"/>
      <c r="AF143" s="268"/>
      <c r="AG143" s="268"/>
      <c r="AH143" s="268"/>
      <c r="AI143" s="268"/>
      <c r="AJ143" s="268"/>
      <c r="AK143" s="268"/>
      <c r="AL143" s="268"/>
      <c r="AM143" s="268"/>
      <c r="AN143" s="268"/>
      <c r="AO143" s="268"/>
      <c r="AP143" s="268"/>
    </row>
    <row r="144" spans="1:42" s="67" customFormat="1" x14ac:dyDescent="0.25">
      <c r="A144" s="268"/>
      <c r="B144" s="271"/>
      <c r="C144" s="268"/>
      <c r="D144" s="268"/>
      <c r="E144" s="268"/>
      <c r="F144" s="268"/>
      <c r="G144" s="268"/>
      <c r="H144" s="268"/>
      <c r="I144" s="268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  <c r="AA144" s="268"/>
      <c r="AB144" s="268"/>
      <c r="AC144" s="268"/>
      <c r="AD144" s="268"/>
      <c r="AE144" s="268"/>
      <c r="AF144" s="268"/>
      <c r="AG144" s="268"/>
      <c r="AH144" s="268"/>
      <c r="AI144" s="268"/>
      <c r="AJ144" s="268"/>
      <c r="AK144" s="268"/>
      <c r="AL144" s="268"/>
      <c r="AM144" s="268"/>
      <c r="AN144" s="268"/>
      <c r="AO144" s="268"/>
      <c r="AP144" s="268"/>
    </row>
    <row r="145" spans="1:42" s="67" customFormat="1" x14ac:dyDescent="0.25">
      <c r="A145" s="268"/>
      <c r="B145" s="271"/>
      <c r="C145" s="268"/>
      <c r="D145" s="268"/>
      <c r="E145" s="268"/>
      <c r="F145" s="268"/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68"/>
      <c r="U145" s="268"/>
      <c r="V145" s="268"/>
      <c r="W145" s="268"/>
      <c r="X145" s="268"/>
      <c r="Y145" s="268"/>
      <c r="Z145" s="268"/>
      <c r="AA145" s="268"/>
      <c r="AB145" s="268"/>
      <c r="AC145" s="268"/>
      <c r="AD145" s="268"/>
      <c r="AE145" s="268"/>
      <c r="AF145" s="268"/>
      <c r="AG145" s="268"/>
      <c r="AH145" s="268"/>
      <c r="AI145" s="268"/>
      <c r="AJ145" s="268"/>
      <c r="AK145" s="268"/>
      <c r="AL145" s="268"/>
      <c r="AM145" s="268"/>
      <c r="AN145" s="268"/>
      <c r="AO145" s="268"/>
      <c r="AP145" s="268"/>
    </row>
    <row r="146" spans="1:42" s="67" customFormat="1" x14ac:dyDescent="0.25">
      <c r="A146" s="268"/>
      <c r="B146" s="271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  <c r="P146" s="268"/>
      <c r="Q146" s="268"/>
      <c r="R146" s="268"/>
      <c r="S146" s="268"/>
      <c r="T146" s="268"/>
      <c r="U146" s="268"/>
      <c r="V146" s="268"/>
      <c r="W146" s="268"/>
      <c r="X146" s="268"/>
      <c r="Y146" s="268"/>
      <c r="Z146" s="268"/>
      <c r="AA146" s="268"/>
      <c r="AB146" s="268"/>
      <c r="AC146" s="268"/>
      <c r="AD146" s="268"/>
      <c r="AE146" s="268"/>
      <c r="AF146" s="268"/>
      <c r="AG146" s="268"/>
      <c r="AH146" s="268"/>
      <c r="AI146" s="268"/>
      <c r="AJ146" s="268"/>
      <c r="AK146" s="268"/>
      <c r="AL146" s="268"/>
      <c r="AM146" s="268"/>
      <c r="AN146" s="268"/>
      <c r="AO146" s="268"/>
      <c r="AP146" s="268"/>
    </row>
    <row r="147" spans="1:42" s="67" customFormat="1" x14ac:dyDescent="0.25">
      <c r="A147" s="268"/>
      <c r="B147" s="271"/>
      <c r="C147" s="268"/>
      <c r="D147" s="268"/>
      <c r="E147" s="268"/>
      <c r="F147" s="268"/>
      <c r="G147" s="268"/>
      <c r="H147" s="268"/>
      <c r="I147" s="268"/>
      <c r="J147" s="268"/>
      <c r="K147" s="268"/>
      <c r="L147" s="268"/>
      <c r="M147" s="268"/>
      <c r="N147" s="268"/>
      <c r="O147" s="268"/>
      <c r="P147" s="268"/>
      <c r="Q147" s="268"/>
      <c r="R147" s="268"/>
      <c r="S147" s="268"/>
      <c r="T147" s="268"/>
      <c r="U147" s="268"/>
      <c r="V147" s="268"/>
      <c r="W147" s="268"/>
      <c r="X147" s="268"/>
      <c r="Y147" s="268"/>
      <c r="Z147" s="268"/>
      <c r="AA147" s="268"/>
      <c r="AB147" s="268"/>
      <c r="AC147" s="268"/>
      <c r="AD147" s="268"/>
      <c r="AE147" s="268"/>
      <c r="AF147" s="268"/>
      <c r="AG147" s="268"/>
      <c r="AH147" s="268"/>
      <c r="AI147" s="268"/>
      <c r="AJ147" s="268"/>
      <c r="AK147" s="268"/>
      <c r="AL147" s="268"/>
      <c r="AM147" s="268"/>
      <c r="AN147" s="268"/>
      <c r="AO147" s="268"/>
      <c r="AP147" s="268"/>
    </row>
    <row r="148" spans="1:42" s="67" customFormat="1" x14ac:dyDescent="0.25">
      <c r="A148" s="268"/>
      <c r="B148" s="271"/>
      <c r="C148" s="268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  <c r="X148" s="268"/>
      <c r="Y148" s="268"/>
      <c r="Z148" s="268"/>
      <c r="AA148" s="268"/>
      <c r="AB148" s="268"/>
      <c r="AC148" s="268"/>
      <c r="AD148" s="268"/>
      <c r="AE148" s="268"/>
      <c r="AF148" s="268"/>
      <c r="AG148" s="268"/>
      <c r="AH148" s="268"/>
      <c r="AI148" s="268"/>
      <c r="AJ148" s="268"/>
      <c r="AK148" s="268"/>
      <c r="AL148" s="268"/>
      <c r="AM148" s="268"/>
      <c r="AN148" s="268"/>
      <c r="AO148" s="268"/>
      <c r="AP148" s="268"/>
    </row>
    <row r="149" spans="1:42" s="67" customFormat="1" x14ac:dyDescent="0.25">
      <c r="A149" s="268"/>
      <c r="B149" s="271"/>
      <c r="C149" s="268"/>
      <c r="D149" s="268"/>
      <c r="E149" s="268"/>
      <c r="F149" s="268"/>
      <c r="G149" s="268"/>
      <c r="H149" s="268"/>
      <c r="I149" s="268"/>
      <c r="J149" s="268"/>
      <c r="K149" s="268"/>
      <c r="L149" s="268"/>
      <c r="M149" s="268"/>
      <c r="N149" s="268"/>
      <c r="O149" s="268"/>
      <c r="P149" s="268"/>
      <c r="Q149" s="268"/>
      <c r="R149" s="268"/>
      <c r="S149" s="268"/>
      <c r="T149" s="268"/>
      <c r="U149" s="268"/>
      <c r="V149" s="268"/>
      <c r="W149" s="268"/>
      <c r="X149" s="268"/>
      <c r="Y149" s="268"/>
      <c r="Z149" s="268"/>
      <c r="AA149" s="268"/>
      <c r="AB149" s="268"/>
      <c r="AC149" s="268"/>
      <c r="AD149" s="268"/>
      <c r="AE149" s="268"/>
      <c r="AF149" s="268"/>
      <c r="AG149" s="268"/>
      <c r="AH149" s="268"/>
      <c r="AI149" s="268"/>
      <c r="AJ149" s="268"/>
      <c r="AK149" s="268"/>
      <c r="AL149" s="268"/>
      <c r="AM149" s="268"/>
      <c r="AN149" s="268"/>
      <c r="AO149" s="268"/>
      <c r="AP149" s="268"/>
    </row>
    <row r="150" spans="1:42" s="67" customFormat="1" x14ac:dyDescent="0.25">
      <c r="A150" s="268"/>
      <c r="B150" s="271"/>
      <c r="C150" s="268"/>
      <c r="D150" s="268"/>
      <c r="E150" s="268"/>
      <c r="F150" s="268"/>
      <c r="G150" s="268"/>
      <c r="H150" s="268"/>
      <c r="I150" s="268"/>
      <c r="J150" s="268"/>
      <c r="K150" s="268"/>
      <c r="L150" s="268"/>
      <c r="M150" s="268"/>
      <c r="N150" s="268"/>
      <c r="O150" s="268"/>
      <c r="P150" s="268"/>
      <c r="Q150" s="268"/>
      <c r="R150" s="268"/>
      <c r="S150" s="268"/>
      <c r="T150" s="268"/>
      <c r="U150" s="268"/>
      <c r="V150" s="268"/>
      <c r="W150" s="268"/>
      <c r="X150" s="268"/>
      <c r="Y150" s="268"/>
      <c r="Z150" s="268"/>
      <c r="AA150" s="268"/>
      <c r="AB150" s="268"/>
      <c r="AC150" s="268"/>
      <c r="AD150" s="268"/>
      <c r="AE150" s="268"/>
      <c r="AF150" s="268"/>
      <c r="AG150" s="268"/>
      <c r="AH150" s="268"/>
      <c r="AI150" s="268"/>
      <c r="AJ150" s="268"/>
      <c r="AK150" s="268"/>
      <c r="AL150" s="268"/>
      <c r="AM150" s="268"/>
      <c r="AN150" s="268"/>
      <c r="AO150" s="268"/>
      <c r="AP150" s="268"/>
    </row>
    <row r="151" spans="1:42" s="67" customFormat="1" x14ac:dyDescent="0.25">
      <c r="A151" s="268"/>
      <c r="B151" s="271"/>
      <c r="C151" s="268"/>
      <c r="D151" s="268"/>
      <c r="E151" s="268"/>
      <c r="F151" s="268"/>
      <c r="G151" s="268"/>
      <c r="H151" s="268"/>
      <c r="I151" s="268"/>
      <c r="J151" s="268"/>
      <c r="K151" s="268"/>
      <c r="L151" s="268"/>
      <c r="M151" s="268"/>
      <c r="N151" s="268"/>
      <c r="O151" s="268"/>
      <c r="P151" s="268"/>
      <c r="Q151" s="268"/>
      <c r="R151" s="268"/>
      <c r="S151" s="268"/>
      <c r="T151" s="268"/>
      <c r="U151" s="268"/>
      <c r="V151" s="268"/>
      <c r="W151" s="268"/>
      <c r="X151" s="268"/>
      <c r="Y151" s="268"/>
      <c r="Z151" s="268"/>
      <c r="AA151" s="268"/>
      <c r="AB151" s="268"/>
      <c r="AC151" s="268"/>
      <c r="AD151" s="268"/>
      <c r="AE151" s="268"/>
      <c r="AF151" s="268"/>
      <c r="AG151" s="268"/>
      <c r="AH151" s="268"/>
      <c r="AI151" s="268"/>
      <c r="AJ151" s="268"/>
      <c r="AK151" s="268"/>
      <c r="AL151" s="268"/>
      <c r="AM151" s="268"/>
      <c r="AN151" s="268"/>
      <c r="AO151" s="268"/>
      <c r="AP151" s="268"/>
    </row>
    <row r="152" spans="1:42" s="67" customFormat="1" x14ac:dyDescent="0.25">
      <c r="A152" s="268"/>
      <c r="B152" s="271"/>
      <c r="C152" s="268"/>
      <c r="D152" s="268"/>
      <c r="E152" s="268"/>
      <c r="F152" s="268"/>
      <c r="G152" s="268"/>
      <c r="H152" s="268"/>
      <c r="I152" s="268"/>
      <c r="J152" s="268"/>
      <c r="K152" s="268"/>
      <c r="L152" s="268"/>
      <c r="M152" s="268"/>
      <c r="N152" s="268"/>
      <c r="O152" s="268"/>
      <c r="P152" s="268"/>
      <c r="Q152" s="268"/>
      <c r="R152" s="268"/>
      <c r="S152" s="268"/>
      <c r="T152" s="268"/>
      <c r="U152" s="268"/>
      <c r="V152" s="268"/>
      <c r="W152" s="268"/>
      <c r="X152" s="268"/>
      <c r="Y152" s="268"/>
      <c r="Z152" s="268"/>
      <c r="AA152" s="268"/>
      <c r="AB152" s="268"/>
      <c r="AC152" s="268"/>
      <c r="AD152" s="268"/>
      <c r="AE152" s="268"/>
      <c r="AF152" s="268"/>
      <c r="AG152" s="268"/>
      <c r="AH152" s="268"/>
      <c r="AI152" s="268"/>
      <c r="AJ152" s="268"/>
      <c r="AK152" s="268"/>
      <c r="AL152" s="268"/>
      <c r="AM152" s="268"/>
      <c r="AN152" s="268"/>
      <c r="AO152" s="268"/>
      <c r="AP152" s="268"/>
    </row>
    <row r="153" spans="1:42" s="67" customFormat="1" x14ac:dyDescent="0.25">
      <c r="A153" s="268"/>
      <c r="B153" s="271"/>
      <c r="C153" s="268"/>
      <c r="D153" s="268"/>
      <c r="E153" s="268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268"/>
      <c r="Q153" s="268"/>
      <c r="R153" s="268"/>
      <c r="S153" s="268"/>
      <c r="T153" s="268"/>
      <c r="U153" s="268"/>
      <c r="V153" s="268"/>
      <c r="W153" s="268"/>
      <c r="X153" s="268"/>
      <c r="Y153" s="268"/>
      <c r="Z153" s="268"/>
      <c r="AA153" s="268"/>
      <c r="AB153" s="268"/>
      <c r="AC153" s="268"/>
      <c r="AD153" s="268"/>
      <c r="AE153" s="268"/>
      <c r="AF153" s="268"/>
      <c r="AG153" s="268"/>
      <c r="AH153" s="268"/>
      <c r="AI153" s="268"/>
      <c r="AJ153" s="268"/>
      <c r="AK153" s="268"/>
      <c r="AL153" s="268"/>
      <c r="AM153" s="268"/>
      <c r="AN153" s="268"/>
      <c r="AO153" s="268"/>
      <c r="AP153" s="268"/>
    </row>
    <row r="154" spans="1:42" s="67" customFormat="1" x14ac:dyDescent="0.25">
      <c r="A154" s="268"/>
      <c r="B154" s="271"/>
      <c r="C154" s="268"/>
      <c r="D154" s="268"/>
      <c r="E154" s="268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268"/>
      <c r="Q154" s="268"/>
      <c r="R154" s="268"/>
      <c r="S154" s="268"/>
      <c r="T154" s="268"/>
      <c r="U154" s="268"/>
      <c r="V154" s="268"/>
      <c r="W154" s="268"/>
      <c r="X154" s="268"/>
      <c r="Y154" s="268"/>
      <c r="Z154" s="268"/>
      <c r="AA154" s="268"/>
      <c r="AB154" s="268"/>
      <c r="AC154" s="268"/>
      <c r="AD154" s="268"/>
      <c r="AE154" s="268"/>
      <c r="AF154" s="268"/>
      <c r="AG154" s="268"/>
      <c r="AH154" s="268"/>
      <c r="AI154" s="268"/>
      <c r="AJ154" s="268"/>
      <c r="AK154" s="268"/>
      <c r="AL154" s="268"/>
      <c r="AM154" s="268"/>
      <c r="AN154" s="268"/>
      <c r="AO154" s="268"/>
      <c r="AP154" s="268"/>
    </row>
    <row r="155" spans="1:42" s="67" customFormat="1" x14ac:dyDescent="0.25">
      <c r="A155" s="268"/>
      <c r="B155" s="271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268"/>
      <c r="Q155" s="268"/>
      <c r="R155" s="268"/>
      <c r="S155" s="268"/>
      <c r="T155" s="268"/>
      <c r="U155" s="268"/>
      <c r="V155" s="268"/>
      <c r="W155" s="268"/>
      <c r="X155" s="268"/>
      <c r="Y155" s="268"/>
      <c r="Z155" s="268"/>
      <c r="AA155" s="268"/>
      <c r="AB155" s="268"/>
      <c r="AC155" s="268"/>
      <c r="AD155" s="268"/>
      <c r="AE155" s="268"/>
      <c r="AF155" s="268"/>
      <c r="AG155" s="268"/>
      <c r="AH155" s="268"/>
      <c r="AI155" s="268"/>
      <c r="AJ155" s="268"/>
      <c r="AK155" s="268"/>
      <c r="AL155" s="268"/>
      <c r="AM155" s="268"/>
      <c r="AN155" s="268"/>
      <c r="AO155" s="268"/>
      <c r="AP155" s="268"/>
    </row>
    <row r="156" spans="1:42" s="67" customFormat="1" x14ac:dyDescent="0.25">
      <c r="A156" s="268"/>
      <c r="B156" s="271"/>
      <c r="C156" s="268"/>
      <c r="D156" s="268"/>
      <c r="E156" s="268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268"/>
      <c r="Q156" s="268"/>
      <c r="R156" s="268"/>
      <c r="S156" s="268"/>
      <c r="T156" s="268"/>
      <c r="U156" s="268"/>
      <c r="V156" s="268"/>
      <c r="W156" s="268"/>
      <c r="X156" s="268"/>
      <c r="Y156" s="268"/>
      <c r="Z156" s="268"/>
      <c r="AA156" s="268"/>
      <c r="AB156" s="268"/>
      <c r="AC156" s="268"/>
      <c r="AD156" s="268"/>
      <c r="AE156" s="268"/>
      <c r="AF156" s="268"/>
      <c r="AG156" s="268"/>
      <c r="AH156" s="268"/>
      <c r="AI156" s="268"/>
      <c r="AJ156" s="268"/>
      <c r="AK156" s="268"/>
      <c r="AL156" s="268"/>
      <c r="AM156" s="268"/>
      <c r="AN156" s="268"/>
      <c r="AO156" s="268"/>
      <c r="AP156" s="268"/>
    </row>
    <row r="157" spans="1:42" s="67" customFormat="1" x14ac:dyDescent="0.25">
      <c r="A157" s="268"/>
      <c r="B157" s="271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  <c r="X157" s="268"/>
      <c r="Y157" s="268"/>
      <c r="Z157" s="268"/>
      <c r="AA157" s="268"/>
      <c r="AB157" s="268"/>
      <c r="AC157" s="268"/>
      <c r="AD157" s="268"/>
      <c r="AE157" s="268"/>
      <c r="AF157" s="268"/>
      <c r="AG157" s="268"/>
      <c r="AH157" s="268"/>
      <c r="AI157" s="268"/>
      <c r="AJ157" s="268"/>
      <c r="AK157" s="268"/>
      <c r="AL157" s="268"/>
      <c r="AM157" s="268"/>
      <c r="AN157" s="268"/>
      <c r="AO157" s="268"/>
      <c r="AP157" s="268"/>
    </row>
    <row r="158" spans="1:42" s="67" customFormat="1" x14ac:dyDescent="0.25">
      <c r="A158" s="268"/>
      <c r="B158" s="271"/>
      <c r="C158" s="268"/>
      <c r="D158" s="268"/>
      <c r="E158" s="268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268"/>
      <c r="Q158" s="268"/>
      <c r="R158" s="268"/>
      <c r="S158" s="268"/>
      <c r="T158" s="268"/>
      <c r="U158" s="268"/>
      <c r="V158" s="268"/>
      <c r="W158" s="268"/>
      <c r="X158" s="268"/>
      <c r="Y158" s="268"/>
      <c r="Z158" s="268"/>
      <c r="AA158" s="268"/>
      <c r="AB158" s="268"/>
      <c r="AC158" s="268"/>
      <c r="AD158" s="268"/>
      <c r="AE158" s="268"/>
      <c r="AF158" s="268"/>
      <c r="AG158" s="268"/>
      <c r="AH158" s="268"/>
      <c r="AI158" s="268"/>
      <c r="AJ158" s="268"/>
      <c r="AK158" s="268"/>
      <c r="AL158" s="268"/>
      <c r="AM158" s="268"/>
      <c r="AN158" s="268"/>
      <c r="AO158" s="268"/>
      <c r="AP158" s="268"/>
    </row>
    <row r="159" spans="1:42" s="67" customFormat="1" x14ac:dyDescent="0.25">
      <c r="A159" s="268"/>
      <c r="B159" s="271"/>
      <c r="C159" s="268"/>
      <c r="D159" s="268"/>
      <c r="E159" s="268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268"/>
      <c r="Q159" s="268"/>
      <c r="R159" s="268"/>
      <c r="S159" s="268"/>
      <c r="T159" s="268"/>
      <c r="U159" s="268"/>
      <c r="V159" s="268"/>
      <c r="W159" s="268"/>
      <c r="X159" s="268"/>
      <c r="Y159" s="268"/>
      <c r="Z159" s="268"/>
      <c r="AA159" s="268"/>
      <c r="AB159" s="268"/>
      <c r="AC159" s="268"/>
      <c r="AD159" s="268"/>
      <c r="AE159" s="268"/>
      <c r="AF159" s="268"/>
      <c r="AG159" s="268"/>
      <c r="AH159" s="268"/>
      <c r="AI159" s="268"/>
      <c r="AJ159" s="268"/>
      <c r="AK159" s="268"/>
      <c r="AL159" s="268"/>
      <c r="AM159" s="268"/>
      <c r="AN159" s="268"/>
      <c r="AO159" s="268"/>
      <c r="AP159" s="268"/>
    </row>
    <row r="160" spans="1:42" s="67" customFormat="1" x14ac:dyDescent="0.25">
      <c r="A160" s="268"/>
      <c r="B160" s="271"/>
      <c r="C160" s="268"/>
      <c r="D160" s="268"/>
      <c r="E160" s="268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268"/>
      <c r="Q160" s="268"/>
      <c r="R160" s="268"/>
      <c r="S160" s="268"/>
      <c r="T160" s="268"/>
      <c r="U160" s="268"/>
      <c r="V160" s="268"/>
      <c r="W160" s="268"/>
      <c r="X160" s="268"/>
      <c r="Y160" s="268"/>
      <c r="Z160" s="268"/>
      <c r="AA160" s="268"/>
      <c r="AB160" s="268"/>
      <c r="AC160" s="268"/>
      <c r="AD160" s="268"/>
      <c r="AE160" s="268"/>
      <c r="AF160" s="268"/>
      <c r="AG160" s="268"/>
      <c r="AH160" s="268"/>
      <c r="AI160" s="268"/>
      <c r="AJ160" s="268"/>
      <c r="AK160" s="268"/>
      <c r="AL160" s="268"/>
      <c r="AM160" s="268"/>
      <c r="AN160" s="268"/>
      <c r="AO160" s="268"/>
      <c r="AP160" s="268"/>
    </row>
    <row r="161" spans="1:44" s="67" customFormat="1" x14ac:dyDescent="0.25">
      <c r="A161" s="268"/>
      <c r="B161" s="271"/>
      <c r="C161" s="268"/>
      <c r="D161" s="268"/>
      <c r="E161" s="268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8"/>
      <c r="X161" s="268"/>
      <c r="Y161" s="268"/>
      <c r="Z161" s="268"/>
      <c r="AA161" s="268"/>
      <c r="AB161" s="268"/>
      <c r="AC161" s="268"/>
      <c r="AD161" s="268"/>
      <c r="AE161" s="268"/>
      <c r="AF161" s="268"/>
      <c r="AG161" s="268"/>
      <c r="AH161" s="268"/>
      <c r="AI161" s="268"/>
      <c r="AJ161" s="268"/>
      <c r="AK161" s="268"/>
      <c r="AL161" s="268"/>
      <c r="AM161" s="268"/>
      <c r="AN161" s="268"/>
      <c r="AO161" s="268"/>
      <c r="AP161" s="268"/>
    </row>
    <row r="162" spans="1:44" s="67" customFormat="1" x14ac:dyDescent="0.25">
      <c r="A162" s="268"/>
      <c r="B162" s="271"/>
      <c r="C162" s="268"/>
      <c r="D162" s="268"/>
      <c r="E162" s="268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  <c r="R162" s="268"/>
      <c r="S162" s="268"/>
      <c r="T162" s="268"/>
      <c r="U162" s="268"/>
      <c r="V162" s="268"/>
      <c r="W162" s="268"/>
      <c r="X162" s="268"/>
      <c r="Y162" s="268"/>
      <c r="Z162" s="268"/>
      <c r="AA162" s="268"/>
      <c r="AB162" s="268"/>
      <c r="AC162" s="268"/>
      <c r="AD162" s="268"/>
      <c r="AE162" s="268"/>
      <c r="AF162" s="268"/>
      <c r="AG162" s="268"/>
      <c r="AH162" s="268"/>
      <c r="AI162" s="268"/>
      <c r="AJ162" s="268"/>
      <c r="AK162" s="268"/>
      <c r="AL162" s="268"/>
      <c r="AM162" s="268"/>
      <c r="AN162" s="268"/>
      <c r="AO162" s="268"/>
      <c r="AP162" s="268"/>
    </row>
    <row r="163" spans="1:44" s="67" customFormat="1" x14ac:dyDescent="0.25">
      <c r="A163" s="268"/>
      <c r="B163" s="271"/>
      <c r="C163" s="268"/>
      <c r="D163" s="268"/>
      <c r="E163" s="268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268"/>
      <c r="Q163" s="268"/>
      <c r="R163" s="268"/>
      <c r="S163" s="268"/>
      <c r="T163" s="268"/>
      <c r="U163" s="268"/>
      <c r="V163" s="268"/>
      <c r="W163" s="268"/>
      <c r="X163" s="268"/>
      <c r="Y163" s="268"/>
      <c r="Z163" s="268"/>
      <c r="AA163" s="268"/>
      <c r="AB163" s="268"/>
      <c r="AC163" s="268"/>
      <c r="AD163" s="268"/>
      <c r="AE163" s="268"/>
      <c r="AF163" s="268"/>
      <c r="AG163" s="268"/>
      <c r="AH163" s="268"/>
      <c r="AI163" s="268"/>
      <c r="AJ163" s="268"/>
      <c r="AK163" s="268"/>
      <c r="AL163" s="268"/>
      <c r="AM163" s="268"/>
      <c r="AN163" s="268"/>
      <c r="AO163" s="268"/>
      <c r="AP163" s="268"/>
    </row>
    <row r="164" spans="1:44" s="67" customFormat="1" x14ac:dyDescent="0.25">
      <c r="A164" s="268"/>
      <c r="B164" s="271"/>
      <c r="C164" s="268"/>
      <c r="D164" s="268"/>
      <c r="E164" s="268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268"/>
      <c r="Q164" s="268"/>
      <c r="R164" s="268"/>
      <c r="S164" s="268"/>
      <c r="T164" s="268"/>
      <c r="U164" s="268"/>
      <c r="V164" s="268"/>
      <c r="W164" s="268"/>
      <c r="X164" s="268"/>
      <c r="Y164" s="268"/>
      <c r="Z164" s="268"/>
      <c r="AA164" s="268"/>
      <c r="AB164" s="268"/>
      <c r="AC164" s="268"/>
      <c r="AD164" s="268"/>
      <c r="AE164" s="268"/>
      <c r="AF164" s="268"/>
      <c r="AG164" s="268"/>
      <c r="AH164" s="268"/>
      <c r="AI164" s="268"/>
      <c r="AJ164" s="268"/>
      <c r="AK164" s="268"/>
      <c r="AL164" s="268"/>
      <c r="AM164" s="268"/>
      <c r="AN164" s="268"/>
      <c r="AO164" s="268"/>
      <c r="AP164" s="268"/>
    </row>
    <row r="165" spans="1:44" s="67" customFormat="1" x14ac:dyDescent="0.25">
      <c r="A165" s="268"/>
      <c r="B165" s="271"/>
      <c r="C165" s="268"/>
      <c r="D165" s="268"/>
      <c r="E165" s="268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  <c r="R165" s="268"/>
      <c r="S165" s="268"/>
      <c r="T165" s="268"/>
      <c r="U165" s="268"/>
      <c r="V165" s="268"/>
      <c r="W165" s="268"/>
      <c r="X165" s="268"/>
      <c r="Y165" s="268"/>
      <c r="Z165" s="268"/>
      <c r="AA165" s="268"/>
      <c r="AB165" s="268"/>
      <c r="AC165" s="268"/>
      <c r="AD165" s="268"/>
      <c r="AE165" s="268"/>
      <c r="AF165" s="268"/>
      <c r="AG165" s="268"/>
      <c r="AH165" s="268"/>
      <c r="AI165" s="268"/>
      <c r="AJ165" s="268"/>
      <c r="AK165" s="268"/>
      <c r="AL165" s="268"/>
      <c r="AM165" s="268"/>
      <c r="AN165" s="268"/>
      <c r="AO165" s="268"/>
      <c r="AP165" s="268"/>
    </row>
    <row r="166" spans="1:44" s="67" customFormat="1" x14ac:dyDescent="0.25">
      <c r="A166" s="268"/>
      <c r="B166" s="271"/>
      <c r="C166" s="268"/>
      <c r="D166" s="268"/>
      <c r="E166" s="268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  <c r="X166" s="268"/>
      <c r="Y166" s="268"/>
      <c r="Z166" s="268"/>
      <c r="AA166" s="268"/>
      <c r="AB166" s="268"/>
      <c r="AC166" s="268"/>
      <c r="AD166" s="268"/>
      <c r="AE166" s="268"/>
      <c r="AF166" s="268"/>
      <c r="AG166" s="268"/>
      <c r="AH166" s="268"/>
      <c r="AI166" s="268"/>
      <c r="AJ166" s="268"/>
      <c r="AK166" s="268"/>
      <c r="AL166" s="268"/>
      <c r="AM166" s="268"/>
      <c r="AN166" s="268"/>
      <c r="AO166" s="268"/>
      <c r="AP166" s="268"/>
    </row>
    <row r="167" spans="1:44" x14ac:dyDescent="0.3">
      <c r="A167" s="268"/>
      <c r="B167" s="271"/>
      <c r="C167" s="268"/>
      <c r="D167" s="268"/>
      <c r="E167" s="268"/>
      <c r="F167" s="268"/>
      <c r="G167" s="268"/>
      <c r="H167" s="268"/>
      <c r="I167" s="268"/>
      <c r="J167" s="268"/>
      <c r="K167" s="268"/>
      <c r="L167" s="268"/>
    </row>
    <row r="168" spans="1:44" x14ac:dyDescent="0.3">
      <c r="A168" s="268"/>
      <c r="B168" s="271"/>
      <c r="C168" s="268"/>
      <c r="D168" s="268"/>
      <c r="E168" s="268"/>
      <c r="F168" s="268"/>
      <c r="G168" s="268"/>
      <c r="H168" s="268"/>
      <c r="I168" s="268"/>
      <c r="J168" s="268"/>
      <c r="K168" s="268"/>
      <c r="L168" s="268"/>
    </row>
    <row r="169" spans="1:44" x14ac:dyDescent="0.3">
      <c r="A169" s="268"/>
      <c r="B169" s="271"/>
      <c r="C169" s="268"/>
      <c r="D169" s="268"/>
      <c r="E169" s="268"/>
      <c r="F169" s="268"/>
      <c r="G169" s="268"/>
      <c r="H169" s="268"/>
      <c r="I169" s="268"/>
      <c r="J169" s="268"/>
      <c r="K169" s="268"/>
      <c r="L169" s="268"/>
    </row>
    <row r="170" spans="1:44" x14ac:dyDescent="0.3">
      <c r="A170" s="268"/>
      <c r="B170" s="271"/>
      <c r="C170" s="268"/>
      <c r="D170" s="268"/>
      <c r="E170" s="268"/>
      <c r="F170" s="268"/>
      <c r="G170" s="268"/>
      <c r="H170" s="268"/>
      <c r="I170" s="268"/>
      <c r="J170" s="268"/>
      <c r="K170" s="268"/>
      <c r="L170" s="268"/>
    </row>
    <row r="171" spans="1:44" x14ac:dyDescent="0.3">
      <c r="A171" s="268"/>
      <c r="B171" s="271"/>
      <c r="C171" s="268"/>
      <c r="D171" s="268"/>
      <c r="E171" s="268"/>
      <c r="F171" s="268"/>
      <c r="G171" s="268"/>
      <c r="H171" s="268"/>
      <c r="I171" s="268"/>
      <c r="J171" s="268"/>
      <c r="K171" s="268"/>
      <c r="L171" s="268"/>
    </row>
    <row r="172" spans="1:44" x14ac:dyDescent="0.3">
      <c r="A172" s="268"/>
      <c r="B172" s="271"/>
      <c r="C172" s="268"/>
      <c r="D172" s="268"/>
      <c r="E172" s="268"/>
      <c r="F172" s="268"/>
      <c r="G172" s="268"/>
      <c r="H172" s="268"/>
      <c r="I172" s="268"/>
      <c r="J172" s="268"/>
      <c r="K172" s="268"/>
      <c r="L172" s="268"/>
    </row>
    <row r="173" spans="1:44" x14ac:dyDescent="0.3">
      <c r="A173" s="268"/>
      <c r="B173" s="271"/>
      <c r="C173" s="268"/>
      <c r="D173" s="268"/>
      <c r="E173" s="268"/>
      <c r="F173" s="268"/>
      <c r="G173" s="268"/>
      <c r="H173" s="268"/>
      <c r="I173" s="268"/>
      <c r="J173" s="268"/>
      <c r="K173" s="268"/>
      <c r="L173" s="268"/>
    </row>
    <row r="174" spans="1:44" x14ac:dyDescent="0.3">
      <c r="A174" s="268"/>
      <c r="B174" s="271"/>
      <c r="C174" s="268"/>
      <c r="D174" s="268"/>
      <c r="E174" s="268"/>
      <c r="F174" s="268"/>
      <c r="G174" s="268"/>
      <c r="H174" s="268"/>
      <c r="I174" s="268"/>
      <c r="J174" s="268"/>
      <c r="K174" s="268"/>
      <c r="L174" s="268"/>
    </row>
    <row r="175" spans="1:44" x14ac:dyDescent="0.3">
      <c r="A175" s="268"/>
      <c r="B175" s="271"/>
      <c r="C175" s="268"/>
      <c r="D175" s="268"/>
      <c r="E175" s="268"/>
      <c r="F175" s="268"/>
      <c r="G175" s="268"/>
      <c r="H175" s="268"/>
      <c r="I175" s="268"/>
      <c r="J175" s="268"/>
      <c r="K175" s="268"/>
      <c r="L175" s="268"/>
    </row>
    <row r="176" spans="1:44" s="74" customFormat="1" x14ac:dyDescent="0.3">
      <c r="A176" s="268"/>
      <c r="B176" s="271"/>
      <c r="C176" s="268"/>
      <c r="D176" s="268"/>
      <c r="E176" s="268"/>
      <c r="F176" s="268"/>
      <c r="G176" s="268"/>
      <c r="H176" s="268"/>
      <c r="I176" s="268"/>
      <c r="J176" s="268"/>
      <c r="K176" s="268"/>
      <c r="L176" s="268"/>
      <c r="AQ176" s="267"/>
      <c r="AR176" s="267"/>
    </row>
    <row r="177" spans="1:44" s="74" customFormat="1" x14ac:dyDescent="0.3">
      <c r="A177" s="268"/>
      <c r="B177" s="271"/>
      <c r="C177" s="268"/>
      <c r="D177" s="268"/>
      <c r="E177" s="268"/>
      <c r="F177" s="268"/>
      <c r="G177" s="268"/>
      <c r="H177" s="268"/>
      <c r="I177" s="268"/>
      <c r="J177" s="268"/>
      <c r="K177" s="268"/>
      <c r="L177" s="268"/>
      <c r="AQ177" s="267"/>
      <c r="AR177" s="267"/>
    </row>
    <row r="178" spans="1:44" s="74" customFormat="1" x14ac:dyDescent="0.3">
      <c r="A178" s="268"/>
      <c r="B178" s="271"/>
      <c r="C178" s="268"/>
      <c r="D178" s="268"/>
      <c r="E178" s="268"/>
      <c r="F178" s="268"/>
      <c r="G178" s="268"/>
      <c r="H178" s="268"/>
      <c r="I178" s="268"/>
      <c r="J178" s="268"/>
      <c r="K178" s="268"/>
      <c r="L178" s="268"/>
      <c r="AQ178" s="267"/>
      <c r="AR178" s="267"/>
    </row>
    <row r="179" spans="1:44" s="74" customFormat="1" x14ac:dyDescent="0.3">
      <c r="A179" s="268"/>
      <c r="B179" s="271"/>
      <c r="C179" s="268"/>
      <c r="D179" s="268"/>
      <c r="E179" s="268"/>
      <c r="F179" s="268"/>
      <c r="G179" s="268"/>
      <c r="H179" s="268"/>
      <c r="I179" s="268"/>
      <c r="J179" s="268"/>
      <c r="K179" s="268"/>
      <c r="L179" s="268"/>
      <c r="AQ179" s="267"/>
      <c r="AR179" s="267"/>
    </row>
    <row r="180" spans="1:44" s="74" customFormat="1" x14ac:dyDescent="0.3">
      <c r="A180" s="268"/>
      <c r="B180" s="271"/>
      <c r="C180" s="268"/>
      <c r="D180" s="268"/>
      <c r="E180" s="268"/>
      <c r="F180" s="268"/>
      <c r="G180" s="268"/>
      <c r="H180" s="268"/>
      <c r="I180" s="268"/>
      <c r="J180" s="268"/>
      <c r="K180" s="268"/>
      <c r="L180" s="268"/>
      <c r="AQ180" s="267"/>
      <c r="AR180" s="267"/>
    </row>
    <row r="181" spans="1:44" s="74" customFormat="1" x14ac:dyDescent="0.3">
      <c r="A181" s="268"/>
      <c r="B181" s="271"/>
      <c r="C181" s="268"/>
      <c r="D181" s="268"/>
      <c r="E181" s="268"/>
      <c r="F181" s="268"/>
      <c r="G181" s="268"/>
      <c r="H181" s="268"/>
      <c r="I181" s="268"/>
      <c r="J181" s="268"/>
      <c r="K181" s="268"/>
      <c r="L181" s="268"/>
      <c r="AQ181" s="267"/>
      <c r="AR181" s="267"/>
    </row>
    <row r="182" spans="1:44" s="74" customFormat="1" x14ac:dyDescent="0.3">
      <c r="A182" s="268"/>
      <c r="B182" s="271"/>
      <c r="C182" s="268"/>
      <c r="D182" s="268"/>
      <c r="E182" s="268"/>
      <c r="F182" s="268"/>
      <c r="G182" s="268"/>
      <c r="H182" s="268"/>
      <c r="I182" s="268"/>
      <c r="J182" s="268"/>
      <c r="K182" s="268"/>
      <c r="L182" s="268"/>
      <c r="AQ182" s="267"/>
      <c r="AR182" s="267"/>
    </row>
    <row r="183" spans="1:44" s="74" customFormat="1" x14ac:dyDescent="0.3">
      <c r="A183" s="268"/>
      <c r="B183" s="271"/>
      <c r="C183" s="268"/>
      <c r="D183" s="268"/>
      <c r="E183" s="268"/>
      <c r="F183" s="268"/>
      <c r="G183" s="268"/>
      <c r="H183" s="268"/>
      <c r="I183" s="268"/>
      <c r="J183" s="268"/>
      <c r="K183" s="268"/>
      <c r="L183" s="268"/>
      <c r="AQ183" s="267"/>
      <c r="AR183" s="267"/>
    </row>
    <row r="184" spans="1:44" s="74" customFormat="1" x14ac:dyDescent="0.3">
      <c r="A184" s="268"/>
      <c r="B184" s="271"/>
      <c r="C184" s="268"/>
      <c r="D184" s="268"/>
      <c r="E184" s="268"/>
      <c r="F184" s="268"/>
      <c r="G184" s="268"/>
      <c r="H184" s="268"/>
      <c r="I184" s="268"/>
      <c r="J184" s="268"/>
      <c r="K184" s="268"/>
      <c r="L184" s="268"/>
      <c r="AQ184" s="267"/>
      <c r="AR184" s="267"/>
    </row>
    <row r="185" spans="1:44" s="74" customFormat="1" x14ac:dyDescent="0.3">
      <c r="A185" s="268"/>
      <c r="B185" s="271"/>
      <c r="C185" s="268"/>
      <c r="D185" s="268"/>
      <c r="E185" s="268"/>
      <c r="F185" s="268"/>
      <c r="G185" s="268"/>
      <c r="H185" s="268"/>
      <c r="I185" s="268"/>
      <c r="J185" s="268"/>
      <c r="K185" s="268"/>
      <c r="L185" s="268"/>
      <c r="AQ185" s="267"/>
      <c r="AR185" s="267"/>
    </row>
    <row r="186" spans="1:44" s="74" customFormat="1" x14ac:dyDescent="0.3">
      <c r="A186" s="268"/>
      <c r="B186" s="271"/>
      <c r="C186" s="268"/>
      <c r="D186" s="268"/>
      <c r="E186" s="268"/>
      <c r="F186" s="268"/>
      <c r="G186" s="268"/>
      <c r="H186" s="268"/>
      <c r="I186" s="268"/>
      <c r="J186" s="268"/>
      <c r="K186" s="268"/>
      <c r="L186" s="268"/>
      <c r="AQ186" s="267"/>
      <c r="AR186" s="267"/>
    </row>
    <row r="187" spans="1:44" s="74" customFormat="1" x14ac:dyDescent="0.3">
      <c r="A187" s="268"/>
      <c r="B187" s="271"/>
      <c r="C187" s="268"/>
      <c r="D187" s="268"/>
      <c r="E187" s="268"/>
      <c r="F187" s="268"/>
      <c r="G187" s="268"/>
      <c r="H187" s="268"/>
      <c r="I187" s="268"/>
      <c r="J187" s="268"/>
      <c r="K187" s="268"/>
      <c r="L187" s="268"/>
      <c r="AQ187" s="267"/>
      <c r="AR187" s="267"/>
    </row>
    <row r="188" spans="1:44" s="74" customFormat="1" x14ac:dyDescent="0.3">
      <c r="A188" s="268"/>
      <c r="B188" s="271"/>
      <c r="C188" s="268"/>
      <c r="D188" s="268"/>
      <c r="E188" s="268"/>
      <c r="F188" s="268"/>
      <c r="G188" s="268"/>
      <c r="H188" s="268"/>
      <c r="I188" s="268"/>
      <c r="J188" s="268"/>
      <c r="K188" s="268"/>
      <c r="L188" s="268"/>
      <c r="AQ188" s="267"/>
      <c r="AR188" s="267"/>
    </row>
    <row r="189" spans="1:44" s="74" customFormat="1" x14ac:dyDescent="0.3">
      <c r="A189" s="268"/>
      <c r="B189" s="271"/>
      <c r="C189" s="268"/>
      <c r="D189" s="268"/>
      <c r="E189" s="268"/>
      <c r="F189" s="268"/>
      <c r="G189" s="268"/>
      <c r="H189" s="268"/>
      <c r="I189" s="268"/>
      <c r="J189" s="268"/>
      <c r="K189" s="268"/>
      <c r="L189" s="268"/>
      <c r="AQ189" s="267"/>
      <c r="AR189" s="267"/>
    </row>
    <row r="190" spans="1:44" s="74" customFormat="1" x14ac:dyDescent="0.3">
      <c r="A190" s="268"/>
      <c r="B190" s="271"/>
      <c r="C190" s="268"/>
      <c r="D190" s="268"/>
      <c r="E190" s="268"/>
      <c r="F190" s="268"/>
      <c r="G190" s="268"/>
      <c r="H190" s="268"/>
      <c r="I190" s="268"/>
      <c r="J190" s="268"/>
      <c r="K190" s="268"/>
      <c r="L190" s="268"/>
      <c r="AQ190" s="267"/>
      <c r="AR190" s="267"/>
    </row>
    <row r="191" spans="1:44" s="74" customFormat="1" x14ac:dyDescent="0.3">
      <c r="A191" s="268"/>
      <c r="B191" s="271"/>
      <c r="C191" s="268"/>
      <c r="D191" s="268"/>
      <c r="E191" s="268"/>
      <c r="F191" s="268"/>
      <c r="G191" s="268"/>
      <c r="H191" s="268"/>
      <c r="I191" s="268"/>
      <c r="J191" s="268"/>
      <c r="K191" s="268"/>
      <c r="L191" s="268"/>
      <c r="AQ191" s="267"/>
      <c r="AR191" s="267"/>
    </row>
    <row r="192" spans="1:44" s="74" customFormat="1" x14ac:dyDescent="0.3">
      <c r="A192" s="268"/>
      <c r="B192" s="271"/>
      <c r="C192" s="268"/>
      <c r="D192" s="268"/>
      <c r="E192" s="268"/>
      <c r="F192" s="268"/>
      <c r="G192" s="268"/>
      <c r="H192" s="268"/>
      <c r="I192" s="268"/>
      <c r="J192" s="268"/>
      <c r="K192" s="268"/>
      <c r="L192" s="268"/>
      <c r="AQ192" s="267"/>
      <c r="AR192" s="267"/>
    </row>
    <row r="193" spans="1:44" s="74" customFormat="1" x14ac:dyDescent="0.3">
      <c r="A193" s="268"/>
      <c r="B193" s="271"/>
      <c r="C193" s="268"/>
      <c r="D193" s="268"/>
      <c r="E193" s="268"/>
      <c r="F193" s="268"/>
      <c r="G193" s="268"/>
      <c r="H193" s="268"/>
      <c r="I193" s="268"/>
      <c r="J193" s="268"/>
      <c r="K193" s="268"/>
      <c r="L193" s="268"/>
      <c r="AQ193" s="267"/>
      <c r="AR193" s="267"/>
    </row>
    <row r="194" spans="1:44" s="74" customFormat="1" x14ac:dyDescent="0.3">
      <c r="A194" s="268"/>
      <c r="B194" s="271"/>
      <c r="C194" s="268"/>
      <c r="D194" s="268"/>
      <c r="E194" s="268"/>
      <c r="F194" s="268"/>
      <c r="G194" s="268"/>
      <c r="H194" s="268"/>
      <c r="I194" s="268"/>
      <c r="J194" s="268"/>
      <c r="K194" s="268"/>
      <c r="L194" s="268"/>
      <c r="AQ194" s="267"/>
      <c r="AR194" s="267"/>
    </row>
    <row r="195" spans="1:44" s="74" customFormat="1" x14ac:dyDescent="0.3">
      <c r="A195" s="268"/>
      <c r="B195" s="271"/>
      <c r="C195" s="268"/>
      <c r="D195" s="268"/>
      <c r="E195" s="268"/>
      <c r="F195" s="268"/>
      <c r="G195" s="268"/>
      <c r="H195" s="268"/>
      <c r="I195" s="268"/>
      <c r="J195" s="268"/>
      <c r="K195" s="268"/>
      <c r="L195" s="268"/>
      <c r="AQ195" s="267"/>
      <c r="AR195" s="267"/>
    </row>
    <row r="196" spans="1:44" s="74" customFormat="1" x14ac:dyDescent="0.3">
      <c r="A196" s="268"/>
      <c r="B196" s="271"/>
      <c r="C196" s="268"/>
      <c r="D196" s="268"/>
      <c r="E196" s="268"/>
      <c r="F196" s="268"/>
      <c r="G196" s="268"/>
      <c r="H196" s="268"/>
      <c r="I196" s="268"/>
      <c r="J196" s="268"/>
      <c r="K196" s="268"/>
      <c r="L196" s="268"/>
      <c r="AQ196" s="267"/>
      <c r="AR196" s="267"/>
    </row>
    <row r="197" spans="1:44" s="74" customFormat="1" x14ac:dyDescent="0.3">
      <c r="A197" s="268"/>
      <c r="B197" s="271"/>
      <c r="C197" s="268"/>
      <c r="D197" s="268"/>
      <c r="E197" s="268"/>
      <c r="F197" s="268"/>
      <c r="G197" s="268"/>
      <c r="H197" s="268"/>
      <c r="I197" s="268"/>
      <c r="J197" s="268"/>
      <c r="K197" s="268"/>
      <c r="L197" s="268"/>
      <c r="AQ197" s="267"/>
      <c r="AR197" s="267"/>
    </row>
    <row r="198" spans="1:44" s="74" customFormat="1" x14ac:dyDescent="0.3">
      <c r="A198" s="268"/>
      <c r="B198" s="271"/>
      <c r="C198" s="268"/>
      <c r="D198" s="268"/>
      <c r="E198" s="268"/>
      <c r="F198" s="268"/>
      <c r="G198" s="268"/>
      <c r="H198" s="268"/>
      <c r="I198" s="268"/>
      <c r="J198" s="268"/>
      <c r="K198" s="268"/>
      <c r="L198" s="268"/>
      <c r="AQ198" s="267"/>
      <c r="AR198" s="267"/>
    </row>
    <row r="199" spans="1:44" s="74" customFormat="1" x14ac:dyDescent="0.3">
      <c r="A199" s="268"/>
      <c r="B199" s="271"/>
      <c r="C199" s="268"/>
      <c r="D199" s="268"/>
      <c r="E199" s="268"/>
      <c r="F199" s="268"/>
      <c r="G199" s="268"/>
      <c r="H199" s="268"/>
      <c r="I199" s="268"/>
      <c r="J199" s="268"/>
      <c r="K199" s="268"/>
      <c r="L199" s="268"/>
      <c r="AQ199" s="267"/>
      <c r="AR199" s="267"/>
    </row>
    <row r="200" spans="1:44" s="74" customFormat="1" x14ac:dyDescent="0.3">
      <c r="A200" s="268"/>
      <c r="B200" s="271"/>
      <c r="C200" s="268"/>
      <c r="D200" s="268"/>
      <c r="E200" s="268"/>
      <c r="F200" s="268"/>
      <c r="G200" s="268"/>
      <c r="H200" s="268"/>
      <c r="I200" s="268"/>
      <c r="J200" s="268"/>
      <c r="K200" s="268"/>
      <c r="L200" s="268"/>
      <c r="AQ200" s="267"/>
      <c r="AR200" s="267"/>
    </row>
    <row r="201" spans="1:44" s="74" customFormat="1" x14ac:dyDescent="0.3">
      <c r="A201" s="268"/>
      <c r="B201" s="271"/>
      <c r="C201" s="268"/>
      <c r="D201" s="268"/>
      <c r="E201" s="268"/>
      <c r="F201" s="268"/>
      <c r="G201" s="268"/>
      <c r="H201" s="268"/>
      <c r="I201" s="268"/>
      <c r="J201" s="268"/>
      <c r="K201" s="268"/>
      <c r="L201" s="268"/>
      <c r="AQ201" s="267"/>
      <c r="AR201" s="267"/>
    </row>
    <row r="202" spans="1:44" s="74" customFormat="1" x14ac:dyDescent="0.3">
      <c r="A202" s="268"/>
      <c r="B202" s="271"/>
      <c r="C202" s="268"/>
      <c r="D202" s="268"/>
      <c r="E202" s="268"/>
      <c r="F202" s="268"/>
      <c r="G202" s="268"/>
      <c r="H202" s="268"/>
      <c r="I202" s="268"/>
      <c r="J202" s="268"/>
      <c r="K202" s="268"/>
      <c r="L202" s="268"/>
      <c r="AQ202" s="267"/>
      <c r="AR202" s="267"/>
    </row>
    <row r="203" spans="1:44" s="74" customFormat="1" x14ac:dyDescent="0.3">
      <c r="A203" s="268"/>
      <c r="B203" s="271"/>
      <c r="C203" s="268"/>
      <c r="D203" s="268"/>
      <c r="E203" s="268"/>
      <c r="F203" s="268"/>
      <c r="G203" s="268"/>
      <c r="H203" s="268"/>
      <c r="I203" s="268"/>
      <c r="J203" s="268"/>
      <c r="K203" s="268"/>
      <c r="L203" s="268"/>
      <c r="AQ203" s="267"/>
      <c r="AR203" s="267"/>
    </row>
    <row r="204" spans="1:44" s="74" customFormat="1" x14ac:dyDescent="0.3">
      <c r="A204" s="268"/>
      <c r="B204" s="271"/>
      <c r="C204" s="268"/>
      <c r="D204" s="268"/>
      <c r="E204" s="268"/>
      <c r="F204" s="268"/>
      <c r="G204" s="268"/>
      <c r="H204" s="268"/>
      <c r="I204" s="268"/>
      <c r="J204" s="268"/>
      <c r="K204" s="268"/>
      <c r="L204" s="268"/>
      <c r="AQ204" s="267"/>
      <c r="AR204" s="267"/>
    </row>
    <row r="205" spans="1:44" s="74" customFormat="1" x14ac:dyDescent="0.3">
      <c r="A205" s="268"/>
      <c r="B205" s="271"/>
      <c r="C205" s="268"/>
      <c r="D205" s="268"/>
      <c r="E205" s="268"/>
      <c r="F205" s="268"/>
      <c r="G205" s="268"/>
      <c r="H205" s="268"/>
      <c r="I205" s="268"/>
      <c r="J205" s="268"/>
      <c r="K205" s="268"/>
      <c r="L205" s="268"/>
      <c r="AQ205" s="267"/>
      <c r="AR205" s="267"/>
    </row>
    <row r="206" spans="1:44" s="74" customFormat="1" x14ac:dyDescent="0.3">
      <c r="A206" s="268"/>
      <c r="B206" s="271"/>
      <c r="C206" s="268"/>
      <c r="D206" s="268"/>
      <c r="E206" s="268"/>
      <c r="F206" s="268"/>
      <c r="G206" s="268"/>
      <c r="H206" s="268"/>
      <c r="I206" s="268"/>
      <c r="J206" s="268"/>
      <c r="K206" s="268"/>
      <c r="L206" s="268"/>
      <c r="AQ206" s="267"/>
      <c r="AR206" s="267"/>
    </row>
    <row r="207" spans="1:44" s="74" customFormat="1" x14ac:dyDescent="0.3">
      <c r="A207" s="268"/>
      <c r="B207" s="271"/>
      <c r="C207" s="268"/>
      <c r="D207" s="268"/>
      <c r="E207" s="268"/>
      <c r="F207" s="268"/>
      <c r="G207" s="268"/>
      <c r="H207" s="268"/>
      <c r="I207" s="268"/>
      <c r="J207" s="268"/>
      <c r="K207" s="268"/>
      <c r="L207" s="268"/>
      <c r="AQ207" s="267"/>
      <c r="AR207" s="267"/>
    </row>
    <row r="208" spans="1:44" s="74" customFormat="1" x14ac:dyDescent="0.3">
      <c r="A208" s="268"/>
      <c r="B208" s="271"/>
      <c r="C208" s="268"/>
      <c r="D208" s="268"/>
      <c r="E208" s="268"/>
      <c r="F208" s="268"/>
      <c r="G208" s="268"/>
      <c r="H208" s="268"/>
      <c r="I208" s="268"/>
      <c r="J208" s="268"/>
      <c r="K208" s="268"/>
      <c r="L208" s="268"/>
      <c r="AQ208" s="267"/>
      <c r="AR208" s="267"/>
    </row>
    <row r="209" spans="1:44" s="74" customFormat="1" x14ac:dyDescent="0.3">
      <c r="A209" s="268"/>
      <c r="B209" s="271"/>
      <c r="C209" s="268"/>
      <c r="D209" s="268"/>
      <c r="E209" s="268"/>
      <c r="F209" s="268"/>
      <c r="G209" s="268"/>
      <c r="H209" s="268"/>
      <c r="I209" s="268"/>
      <c r="J209" s="268"/>
      <c r="K209" s="268"/>
      <c r="L209" s="268"/>
      <c r="AQ209" s="267"/>
      <c r="AR209" s="267"/>
    </row>
    <row r="210" spans="1:44" s="74" customFormat="1" x14ac:dyDescent="0.3">
      <c r="A210" s="268"/>
      <c r="B210" s="271"/>
      <c r="C210" s="268"/>
      <c r="D210" s="268"/>
      <c r="E210" s="268"/>
      <c r="F210" s="268"/>
      <c r="G210" s="268"/>
      <c r="H210" s="268"/>
      <c r="I210" s="268"/>
      <c r="J210" s="268"/>
      <c r="K210" s="268"/>
      <c r="L210" s="268"/>
      <c r="AQ210" s="267"/>
      <c r="AR210" s="267"/>
    </row>
    <row r="211" spans="1:44" s="74" customFormat="1" x14ac:dyDescent="0.3">
      <c r="A211" s="268"/>
      <c r="B211" s="271"/>
      <c r="C211" s="268"/>
      <c r="D211" s="268"/>
      <c r="E211" s="268"/>
      <c r="F211" s="268"/>
      <c r="G211" s="268"/>
      <c r="H211" s="268"/>
      <c r="I211" s="268"/>
      <c r="J211" s="268"/>
      <c r="K211" s="268"/>
      <c r="L211" s="268"/>
      <c r="AQ211" s="267"/>
      <c r="AR211" s="267"/>
    </row>
    <row r="212" spans="1:44" s="74" customFormat="1" x14ac:dyDescent="0.3">
      <c r="A212" s="268"/>
      <c r="B212" s="271"/>
      <c r="C212" s="268"/>
      <c r="D212" s="268"/>
      <c r="E212" s="268"/>
      <c r="F212" s="268"/>
      <c r="G212" s="268"/>
      <c r="H212" s="268"/>
      <c r="I212" s="268"/>
      <c r="J212" s="268"/>
      <c r="K212" s="268"/>
      <c r="L212" s="268"/>
      <c r="AQ212" s="267"/>
      <c r="AR212" s="267"/>
    </row>
    <row r="213" spans="1:44" s="74" customFormat="1" x14ac:dyDescent="0.3">
      <c r="A213" s="268"/>
      <c r="B213" s="271"/>
      <c r="C213" s="268"/>
      <c r="D213" s="268"/>
      <c r="E213" s="268"/>
      <c r="F213" s="268"/>
      <c r="G213" s="268"/>
      <c r="H213" s="268"/>
      <c r="I213" s="268"/>
      <c r="J213" s="268"/>
      <c r="K213" s="268"/>
      <c r="L213" s="268"/>
      <c r="AQ213" s="267"/>
      <c r="AR213" s="267"/>
    </row>
    <row r="214" spans="1:44" s="74" customFormat="1" x14ac:dyDescent="0.3">
      <c r="A214" s="268"/>
      <c r="B214" s="271"/>
      <c r="C214" s="268"/>
      <c r="D214" s="268"/>
      <c r="E214" s="268"/>
      <c r="F214" s="268"/>
      <c r="G214" s="268"/>
      <c r="H214" s="268"/>
      <c r="I214" s="268"/>
      <c r="J214" s="268"/>
      <c r="K214" s="268"/>
      <c r="L214" s="268"/>
      <c r="AQ214" s="267"/>
      <c r="AR214" s="267"/>
    </row>
    <row r="215" spans="1:44" s="74" customFormat="1" x14ac:dyDescent="0.3">
      <c r="A215" s="268"/>
      <c r="B215" s="271"/>
      <c r="C215" s="268"/>
      <c r="D215" s="268"/>
      <c r="E215" s="268"/>
      <c r="F215" s="268"/>
      <c r="G215" s="268"/>
      <c r="H215" s="268"/>
      <c r="I215" s="268"/>
      <c r="J215" s="268"/>
      <c r="K215" s="268"/>
      <c r="L215" s="268"/>
      <c r="AQ215" s="267"/>
      <c r="AR215" s="267"/>
    </row>
    <row r="216" spans="1:44" s="74" customFormat="1" x14ac:dyDescent="0.3">
      <c r="A216" s="268"/>
      <c r="B216" s="271"/>
      <c r="C216" s="268"/>
      <c r="D216" s="268"/>
      <c r="E216" s="268"/>
      <c r="F216" s="268"/>
      <c r="G216" s="268"/>
      <c r="H216" s="268"/>
      <c r="I216" s="268"/>
      <c r="J216" s="268"/>
      <c r="K216" s="268"/>
      <c r="L216" s="268"/>
      <c r="AQ216" s="267"/>
      <c r="AR216" s="267"/>
    </row>
    <row r="217" spans="1:44" s="74" customFormat="1" x14ac:dyDescent="0.3">
      <c r="A217" s="268"/>
      <c r="B217" s="271"/>
      <c r="C217" s="268"/>
      <c r="D217" s="268"/>
      <c r="E217" s="268"/>
      <c r="F217" s="268"/>
      <c r="G217" s="268"/>
      <c r="H217" s="268"/>
      <c r="I217" s="268"/>
      <c r="J217" s="268"/>
      <c r="K217" s="268"/>
      <c r="L217" s="268"/>
      <c r="AQ217" s="267"/>
      <c r="AR217" s="267"/>
    </row>
    <row r="218" spans="1:44" s="74" customFormat="1" x14ac:dyDescent="0.3">
      <c r="A218" s="268"/>
      <c r="B218" s="271"/>
      <c r="C218" s="268"/>
      <c r="D218" s="268"/>
      <c r="E218" s="268"/>
      <c r="F218" s="268"/>
      <c r="G218" s="268"/>
      <c r="H218" s="268"/>
      <c r="I218" s="268"/>
      <c r="J218" s="268"/>
      <c r="K218" s="268"/>
      <c r="L218" s="268"/>
      <c r="AQ218" s="267"/>
      <c r="AR218" s="267"/>
    </row>
    <row r="219" spans="1:44" s="74" customFormat="1" x14ac:dyDescent="0.3">
      <c r="A219" s="268"/>
      <c r="B219" s="271"/>
      <c r="C219" s="268"/>
      <c r="D219" s="268"/>
      <c r="E219" s="268"/>
      <c r="F219" s="268"/>
      <c r="G219" s="268"/>
      <c r="H219" s="268"/>
      <c r="I219" s="268"/>
      <c r="J219" s="268"/>
      <c r="K219" s="268"/>
      <c r="L219" s="268"/>
      <c r="AQ219" s="267"/>
      <c r="AR219" s="267"/>
    </row>
    <row r="220" spans="1:44" s="74" customFormat="1" x14ac:dyDescent="0.3">
      <c r="A220" s="268"/>
      <c r="B220" s="271"/>
      <c r="C220" s="268"/>
      <c r="D220" s="268"/>
      <c r="E220" s="268"/>
      <c r="F220" s="268"/>
      <c r="G220" s="268"/>
      <c r="H220" s="268"/>
      <c r="I220" s="268"/>
      <c r="J220" s="268"/>
      <c r="K220" s="268"/>
      <c r="L220" s="268"/>
      <c r="AQ220" s="267"/>
      <c r="AR220" s="267"/>
    </row>
    <row r="221" spans="1:44" s="74" customFormat="1" x14ac:dyDescent="0.3">
      <c r="A221" s="268"/>
      <c r="B221" s="271"/>
      <c r="C221" s="268"/>
      <c r="D221" s="268"/>
      <c r="E221" s="268"/>
      <c r="F221" s="268"/>
      <c r="G221" s="268"/>
      <c r="H221" s="268"/>
      <c r="I221" s="268"/>
      <c r="J221" s="268"/>
      <c r="K221" s="268"/>
      <c r="L221" s="268"/>
      <c r="AQ221" s="267"/>
      <c r="AR221" s="267"/>
    </row>
    <row r="222" spans="1:44" s="74" customFormat="1" x14ac:dyDescent="0.3">
      <c r="A222" s="268"/>
      <c r="B222" s="271"/>
      <c r="C222" s="268"/>
      <c r="D222" s="268"/>
      <c r="E222" s="268"/>
      <c r="F222" s="268"/>
      <c r="G222" s="268"/>
      <c r="H222" s="268"/>
      <c r="I222" s="268"/>
      <c r="J222" s="268"/>
      <c r="K222" s="268"/>
      <c r="L222" s="268"/>
      <c r="AQ222" s="267"/>
      <c r="AR222" s="267"/>
    </row>
    <row r="223" spans="1:44" s="74" customFormat="1" x14ac:dyDescent="0.3">
      <c r="A223" s="268"/>
      <c r="B223" s="271"/>
      <c r="C223" s="268"/>
      <c r="D223" s="268"/>
      <c r="E223" s="268"/>
      <c r="F223" s="268"/>
      <c r="G223" s="268"/>
      <c r="H223" s="268"/>
      <c r="I223" s="268"/>
      <c r="J223" s="268"/>
      <c r="K223" s="268"/>
      <c r="L223" s="268"/>
      <c r="AQ223" s="267"/>
      <c r="AR223" s="267"/>
    </row>
    <row r="224" spans="1:44" s="74" customFormat="1" x14ac:dyDescent="0.3">
      <c r="A224" s="268"/>
      <c r="B224" s="271"/>
      <c r="C224" s="268"/>
      <c r="D224" s="268"/>
      <c r="E224" s="268"/>
      <c r="F224" s="268"/>
      <c r="G224" s="268"/>
      <c r="H224" s="268"/>
      <c r="I224" s="268"/>
      <c r="J224" s="268"/>
      <c r="K224" s="268"/>
      <c r="L224" s="268"/>
      <c r="AQ224" s="267"/>
      <c r="AR224" s="267"/>
    </row>
    <row r="225" spans="1:44" s="74" customFormat="1" x14ac:dyDescent="0.3">
      <c r="A225" s="268"/>
      <c r="B225" s="271"/>
      <c r="C225" s="268"/>
      <c r="D225" s="268"/>
      <c r="E225" s="268"/>
      <c r="F225" s="268"/>
      <c r="G225" s="268"/>
      <c r="H225" s="268"/>
      <c r="I225" s="268"/>
      <c r="J225" s="268"/>
      <c r="K225" s="268"/>
      <c r="L225" s="268"/>
      <c r="AQ225" s="267"/>
      <c r="AR225" s="267"/>
    </row>
    <row r="226" spans="1:44" s="74" customFormat="1" x14ac:dyDescent="0.3">
      <c r="A226" s="268"/>
      <c r="B226" s="271"/>
      <c r="C226" s="268"/>
      <c r="D226" s="268"/>
      <c r="E226" s="268"/>
      <c r="F226" s="268"/>
      <c r="G226" s="268"/>
      <c r="H226" s="268"/>
      <c r="I226" s="268"/>
      <c r="J226" s="268"/>
      <c r="K226" s="268"/>
      <c r="L226" s="268"/>
      <c r="AQ226" s="267"/>
      <c r="AR226" s="267"/>
    </row>
    <row r="227" spans="1:44" s="74" customFormat="1" x14ac:dyDescent="0.3">
      <c r="A227" s="268"/>
      <c r="B227" s="271"/>
      <c r="C227" s="268"/>
      <c r="D227" s="268"/>
      <c r="E227" s="268"/>
      <c r="F227" s="268"/>
      <c r="G227" s="268"/>
      <c r="H227" s="268"/>
      <c r="I227" s="268"/>
      <c r="J227" s="268"/>
      <c r="K227" s="268"/>
      <c r="L227" s="268"/>
      <c r="AQ227" s="267"/>
      <c r="AR227" s="267"/>
    </row>
    <row r="228" spans="1:44" s="74" customFormat="1" x14ac:dyDescent="0.3">
      <c r="A228" s="268"/>
      <c r="B228" s="271"/>
      <c r="C228" s="268"/>
      <c r="D228" s="268"/>
      <c r="E228" s="268"/>
      <c r="F228" s="268"/>
      <c r="G228" s="268"/>
      <c r="H228" s="268"/>
      <c r="I228" s="268"/>
      <c r="J228" s="268"/>
      <c r="K228" s="268"/>
      <c r="L228" s="268"/>
      <c r="AQ228" s="267"/>
      <c r="AR228" s="267"/>
    </row>
    <row r="229" spans="1:44" s="74" customFormat="1" x14ac:dyDescent="0.3">
      <c r="A229" s="268"/>
      <c r="B229" s="271"/>
      <c r="C229" s="268"/>
      <c r="D229" s="268"/>
      <c r="E229" s="268"/>
      <c r="F229" s="268"/>
      <c r="G229" s="268"/>
      <c r="H229" s="268"/>
      <c r="I229" s="268"/>
      <c r="J229" s="268"/>
      <c r="K229" s="268"/>
      <c r="L229" s="268"/>
      <c r="AQ229" s="267"/>
      <c r="AR229" s="267"/>
    </row>
    <row r="230" spans="1:44" s="74" customFormat="1" x14ac:dyDescent="0.3">
      <c r="A230" s="268"/>
      <c r="B230" s="271"/>
      <c r="C230" s="268"/>
      <c r="D230" s="268"/>
      <c r="E230" s="268"/>
      <c r="F230" s="268"/>
      <c r="G230" s="268"/>
      <c r="H230" s="268"/>
      <c r="I230" s="268"/>
      <c r="J230" s="268"/>
      <c r="K230" s="268"/>
      <c r="L230" s="268"/>
      <c r="AQ230" s="267"/>
      <c r="AR230" s="267"/>
    </row>
    <row r="231" spans="1:44" s="74" customFormat="1" x14ac:dyDescent="0.3">
      <c r="A231" s="268"/>
      <c r="B231" s="271"/>
      <c r="C231" s="268"/>
      <c r="D231" s="268"/>
      <c r="E231" s="268"/>
      <c r="F231" s="268"/>
      <c r="G231" s="268"/>
      <c r="H231" s="268"/>
      <c r="I231" s="268"/>
      <c r="J231" s="268"/>
      <c r="K231" s="268"/>
      <c r="L231" s="268"/>
      <c r="AQ231" s="267"/>
      <c r="AR231" s="267"/>
    </row>
    <row r="232" spans="1:44" s="74" customFormat="1" x14ac:dyDescent="0.3">
      <c r="A232" s="268"/>
      <c r="B232" s="271"/>
      <c r="C232" s="268"/>
      <c r="D232" s="268"/>
      <c r="E232" s="268"/>
      <c r="F232" s="268"/>
      <c r="G232" s="268"/>
      <c r="H232" s="268"/>
      <c r="I232" s="268"/>
      <c r="J232" s="268"/>
      <c r="K232" s="268"/>
      <c r="L232" s="268"/>
      <c r="AQ232" s="267"/>
      <c r="AR232" s="267"/>
    </row>
  </sheetData>
  <sheetProtection algorithmName="SHA-512" hashValue="nmV3ghxw4UHBZJ18s3VdeqI0tc1932/JM3wMazoqbn8c+AHfCYfkcdCeUwgn3vD4WhG4f10WQSKl8A1NTZQmrQ==" saltValue="Cdx6dOZkMth+CHCDHAHYGw==" spinCount="100000" sheet="1" objects="1" scenarios="1"/>
  <mergeCells count="30">
    <mergeCell ref="I97:K97"/>
    <mergeCell ref="A33:B33"/>
    <mergeCell ref="A51:K51"/>
    <mergeCell ref="A55:B55"/>
    <mergeCell ref="A56:B56"/>
    <mergeCell ref="E73:F73"/>
    <mergeCell ref="A94:C94"/>
    <mergeCell ref="C95:E95"/>
    <mergeCell ref="F95:H95"/>
    <mergeCell ref="I95:K95"/>
    <mergeCell ref="A35:A36"/>
    <mergeCell ref="A39:B39"/>
    <mergeCell ref="B47:D47"/>
    <mergeCell ref="I59:J59"/>
    <mergeCell ref="B35:L36"/>
    <mergeCell ref="B14:D14"/>
    <mergeCell ref="J24:K25"/>
    <mergeCell ref="C1:K1"/>
    <mergeCell ref="B2:E2"/>
    <mergeCell ref="G2:H2"/>
    <mergeCell ref="J2:K2"/>
    <mergeCell ref="C4:D4"/>
    <mergeCell ref="C10:D10"/>
    <mergeCell ref="I8:J8"/>
    <mergeCell ref="I10:J10"/>
    <mergeCell ref="A17:B17"/>
    <mergeCell ref="A23:B23"/>
    <mergeCell ref="B15:D15"/>
    <mergeCell ref="C8:D8"/>
    <mergeCell ref="B13:D13"/>
  </mergeCells>
  <conditionalFormatting sqref="B60 B62 B64 B66 B68 B70">
    <cfRule type="containsText" dxfId="36" priority="18" operator="containsText" text="Information manquante">
      <formula>NOT(ISERROR(SEARCH("Information manquante",B60)))</formula>
    </cfRule>
  </conditionalFormatting>
  <conditionalFormatting sqref="B60">
    <cfRule type="expression" dxfId="35" priority="99">
      <formula>B60=$W$58</formula>
    </cfRule>
  </conditionalFormatting>
  <conditionalFormatting sqref="B62 B64 B66 B68 B70 B60">
    <cfRule type="containsText" dxfId="34" priority="89" operator="containsText" text="S/O">
      <formula>NOT(ISERROR(SEARCH("S/O",B60)))</formula>
    </cfRule>
  </conditionalFormatting>
  <conditionalFormatting sqref="B62">
    <cfRule type="expression" dxfId="33" priority="88">
      <formula>B62=$W$58</formula>
    </cfRule>
    <cfRule type="containsText" dxfId="32" priority="87" operator="containsText" text="S/O">
      <formula>NOT(ISERROR(SEARCH("S/O",B62)))</formula>
    </cfRule>
  </conditionalFormatting>
  <conditionalFormatting sqref="B64">
    <cfRule type="expression" dxfId="31" priority="86">
      <formula>B64=$W$58</formula>
    </cfRule>
    <cfRule type="containsText" dxfId="30" priority="85" operator="containsText" text="S/O">
      <formula>NOT(ISERROR(SEARCH("S/O",B64)))</formula>
    </cfRule>
  </conditionalFormatting>
  <conditionalFormatting sqref="B66">
    <cfRule type="expression" dxfId="29" priority="84">
      <formula>B66=$W$58</formula>
    </cfRule>
  </conditionalFormatting>
  <conditionalFormatting sqref="B68">
    <cfRule type="expression" dxfId="28" priority="82">
      <formula>B68=$W$58</formula>
    </cfRule>
    <cfRule type="containsText" dxfId="27" priority="81" operator="containsText" text="S/O">
      <formula>NOT(ISERROR(SEARCH("S/O",B68)))</formula>
    </cfRule>
  </conditionalFormatting>
  <conditionalFormatting sqref="B70">
    <cfRule type="expression" dxfId="26" priority="78">
      <formula>B70=$W$58</formula>
    </cfRule>
    <cfRule type="containsText" dxfId="25" priority="76" operator="containsText" text="S/O">
      <formula>NOT(ISERROR(SEARCH("S/O",B70)))</formula>
    </cfRule>
  </conditionalFormatting>
  <conditionalFormatting sqref="B13:E15">
    <cfRule type="expression" dxfId="24" priority="5">
      <formula>$K$73&lt;&gt;2</formula>
    </cfRule>
  </conditionalFormatting>
  <conditionalFormatting sqref="C56:H56">
    <cfRule type="containsText" dxfId="23" priority="51" operator="containsText" text="Non">
      <formula>NOT(ISERROR(SEARCH("Non",C56)))</formula>
    </cfRule>
  </conditionalFormatting>
  <conditionalFormatting sqref="D97 G97">
    <cfRule type="containsText" dxfId="22" priority="123" operator="containsText" text="Non">
      <formula>NOT(ISERROR(SEARCH("Non",D97)))</formula>
    </cfRule>
  </conditionalFormatting>
  <conditionalFormatting sqref="D98:D99 G98:G99 J98:J99">
    <cfRule type="containsText" dxfId="21" priority="122" operator="containsText" text="Non">
      <formula>NOT(ISERROR(SEARCH("Non",D98)))</formula>
    </cfRule>
  </conditionalFormatting>
  <conditionalFormatting sqref="D26:E26">
    <cfRule type="expression" dxfId="20" priority="64">
      <formula>$X$26=1</formula>
    </cfRule>
  </conditionalFormatting>
  <conditionalFormatting sqref="D27:F27">
    <cfRule type="expression" dxfId="19" priority="57">
      <formula>$X$27=1</formula>
    </cfRule>
  </conditionalFormatting>
  <conditionalFormatting sqref="D28:F28">
    <cfRule type="expression" dxfId="18" priority="56">
      <formula>$X$28=1</formula>
    </cfRule>
  </conditionalFormatting>
  <conditionalFormatting sqref="D29:F29">
    <cfRule type="expression" dxfId="17" priority="55">
      <formula>$X$29=1</formula>
    </cfRule>
  </conditionalFormatting>
  <conditionalFormatting sqref="D30:F30">
    <cfRule type="expression" dxfId="16" priority="54">
      <formula>$X$30=1</formula>
    </cfRule>
  </conditionalFormatting>
  <conditionalFormatting sqref="D31:F31">
    <cfRule type="expression" dxfId="15" priority="53">
      <formula>$X$31=1</formula>
    </cfRule>
  </conditionalFormatting>
  <conditionalFormatting sqref="E15">
    <cfRule type="cellIs" dxfId="14" priority="1" operator="lessThan">
      <formula>0</formula>
    </cfRule>
  </conditionalFormatting>
  <conditionalFormatting sqref="E80:E83">
    <cfRule type="containsText" dxfId="13" priority="21" operator="containsText" text="Non">
      <formula>NOT(ISERROR(SEARCH("Non",E80)))</formula>
    </cfRule>
  </conditionalFormatting>
  <conditionalFormatting sqref="E85:E87">
    <cfRule type="containsText" dxfId="12" priority="20" operator="containsText" text="Non">
      <formula>NOT(ISERROR(SEARCH("Non",E85)))</formula>
    </cfRule>
  </conditionalFormatting>
  <conditionalFormatting sqref="E75:F78">
    <cfRule type="containsText" dxfId="11" priority="42" operator="containsText" text="Non">
      <formula>NOT(ISERROR(SEARCH("Non",E75)))</formula>
    </cfRule>
  </conditionalFormatting>
  <conditionalFormatting sqref="E89:F92">
    <cfRule type="containsText" dxfId="10" priority="2" operator="containsText" text="Non">
      <formula>NOT(ISERROR(SEARCH("Non",E89)))</formula>
    </cfRule>
  </conditionalFormatting>
  <conditionalFormatting sqref="F80:F87">
    <cfRule type="containsText" dxfId="9" priority="41" operator="containsText" text="Non">
      <formula>NOT(ISERROR(SEARCH("Non",F80)))</formula>
    </cfRule>
  </conditionalFormatting>
  <conditionalFormatting sqref="H60">
    <cfRule type="expression" dxfId="8" priority="39">
      <formula>H59&lt;B59</formula>
    </cfRule>
  </conditionalFormatting>
  <conditionalFormatting sqref="H62">
    <cfRule type="expression" dxfId="7" priority="38">
      <formula>H61&lt;B61</formula>
    </cfRule>
  </conditionalFormatting>
  <conditionalFormatting sqref="H64">
    <cfRule type="expression" dxfId="6" priority="37">
      <formula>H63&lt;B63</formula>
    </cfRule>
  </conditionalFormatting>
  <conditionalFormatting sqref="H66">
    <cfRule type="expression" dxfId="5" priority="36">
      <formula>H65&lt;B65</formula>
    </cfRule>
  </conditionalFormatting>
  <conditionalFormatting sqref="H68">
    <cfRule type="expression" dxfId="4" priority="35">
      <formula>H67&lt;B67</formula>
    </cfRule>
  </conditionalFormatting>
  <conditionalFormatting sqref="H70">
    <cfRule type="expression" dxfId="3" priority="34">
      <formula>H69&lt;B69</formula>
    </cfRule>
  </conditionalFormatting>
  <conditionalFormatting sqref="H48:I48">
    <cfRule type="expression" dxfId="2" priority="104">
      <formula>I48&lt;&gt;""</formula>
    </cfRule>
  </conditionalFormatting>
  <conditionalFormatting sqref="H49:I49">
    <cfRule type="expression" dxfId="1" priority="103">
      <formula>$I$48&lt;&gt;""</formula>
    </cfRule>
  </conditionalFormatting>
  <conditionalFormatting sqref="J26:K31">
    <cfRule type="expression" dxfId="0" priority="10">
      <formula>$D26&gt;0</formula>
    </cfRule>
  </conditionalFormatting>
  <dataValidations count="12">
    <dataValidation type="decimal" allowBlank="1" showInputMessage="1" showErrorMessage="1" errorTitle="Not a number" error="Enter the Envelope Contribution for this licence" prompt="SVP entrez les télédiffuseurs et distributeurs en premier. Voir note (1) ci-dessus" sqref="F26" xr:uid="{A02B3657-AC8E-46C7-AC95-F699FE55BD26}">
      <formula1>0</formula1>
      <formula2>999999999999999</formula2>
    </dataValidation>
    <dataValidation type="list" allowBlank="1" showInputMessage="1" showErrorMessage="1" sqref="E10 K26:K31" xr:uid="{9EC92BC9-9487-4C0E-AD33-7E07ACF967CF}">
      <formula1>$K$84:$K$86</formula1>
    </dataValidation>
    <dataValidation type="list" allowBlank="1" showInputMessage="1" showErrorMessage="1" sqref="E8" xr:uid="{B6F29416-3851-44D8-847F-6624F21CCF0C}">
      <formula1>$K$85:$K$87</formula1>
    </dataValidation>
    <dataValidation type="whole" allowBlank="1" showInputMessage="1" showErrorMessage="1" errorTitle="Not a number" error="Enter the Envelope Contribution for this licence" sqref="E40:E46" xr:uid="{7FCBFA74-9448-4471-ABDB-4B57285F028D}">
      <formula1>0</formula1>
      <formula2>999999999999999</formula2>
    </dataValidation>
    <dataValidation type="whole" allowBlank="1" showInputMessage="1" showErrorMessage="1" promptTitle="Nombre de mois" prompt="Saisir la période ajustée d'exclusivité en « nombre de mois »" sqref="W40:W45" xr:uid="{17DA7530-D37C-45AA-AFD1-15E57EDD78D3}">
      <formula1>1</formula1>
      <formula2>999</formula2>
    </dataValidation>
    <dataValidation type="date" allowBlank="1" showInputMessage="1" showErrorMessage="1" promptTitle="Date" prompt="ex. A-M-J" sqref="G26:G31" xr:uid="{3544F829-0EB7-4FF3-9957-8B061CD6AF68}">
      <formula1>36526</formula1>
      <formula2>401749</formula2>
    </dataValidation>
    <dataValidation type="whole" allowBlank="1" showInputMessage="1" showErrorMessage="1" promptTitle="Nombre de mois" prompt="Saisir la période en mois. Les équations sont permises (ex. : =7*12)" sqref="I26:I31" xr:uid="{2AE92019-F74A-43CD-A697-3A070971DEB7}">
      <formula1>1</formula1>
      <formula2>999</formula2>
    </dataValidation>
    <dataValidation type="decimal" allowBlank="1" showErrorMessage="1" errorTitle="Not a number" error="Enter the Envelope Contribution for this licence" sqref="C26:C31" xr:uid="{DDF7CBA6-C685-4B7C-B1D5-AD311C501E28}">
      <formula1>0</formula1>
      <formula2>999999999999999</formula2>
    </dataValidation>
    <dataValidation type="whole" allowBlank="1" showInputMessage="1" showErrorMessage="1" error="le montanmt doit être égale ou plus petit que le maximum permis (15% du budget ou 225 000)_x000a__x000a__x000a_" sqref="D34" xr:uid="{FED75052-46E4-43A3-A87D-85A3EB66BCD7}">
      <formula1>0</formula1>
      <formula2>C34</formula2>
    </dataValidation>
    <dataValidation type="list" allowBlank="1" showInputMessage="1" showErrorMessage="1" sqref="J26:J31" xr:uid="{E1029196-5CC8-4C69-8E2C-BF724B28467D}">
      <formula1>$I$76:$I$78</formula1>
    </dataValidation>
    <dataValidation allowBlank="1" showInputMessage="1" showErrorMessage="1" promptTitle="Entité Int. (EFA)" prompt="Pour E&amp;J et doc. : les DDA et l’ADA doivent être 75% de l’exigence seuil au minimum. Voir aussi la note (2)" sqref="I48" xr:uid="{A6303965-6CFA-4AA5-B9CA-54B21214A6CD}"/>
    <dataValidation allowBlank="1" showInputMessage="1" showErrorMessage="1" promptTitle="Intl. Entity MMC" prompt="For C&amp;Y the ELF and MMC must be at least 75% of Threshold. Also see note (3)." sqref="I49" xr:uid="{8EE5F500-028B-4D4E-BB54-5C150C211CC0}"/>
  </dataValidations>
  <printOptions horizontalCentered="1"/>
  <pageMargins left="0.23622047244094491" right="0.23622047244094491" top="0.74803149606299213" bottom="0.74803149606299213" header="0.31496062992125984" footer="0.31496062992125984"/>
  <pageSetup scale="70" fitToHeight="3" orientation="landscape" r:id="rId1"/>
  <headerFooter alignWithMargins="0"/>
  <rowBreaks count="2" manualBreakCount="2">
    <brk id="37" max="10" man="1"/>
    <brk id="70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locked="0" defaultSize="0" autoLine="0" autoPict="0">
                <anchor moveWithCells="1">
                  <from>
                    <xdr:col>2</xdr:col>
                    <xdr:colOff>22860</xdr:colOff>
                    <xdr:row>15</xdr:row>
                    <xdr:rowOff>152400</xdr:rowOff>
                  </from>
                  <to>
                    <xdr:col>5</xdr:col>
                    <xdr:colOff>594360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locked="0" defaultSize="0" autoLine="0" autoPict="0">
                <anchor moveWithCells="1">
                  <from>
                    <xdr:col>0</xdr:col>
                    <xdr:colOff>525780</xdr:colOff>
                    <xdr:row>10</xdr:row>
                    <xdr:rowOff>30480</xdr:rowOff>
                  </from>
                  <to>
                    <xdr:col>3</xdr:col>
                    <xdr:colOff>1028700</xdr:colOff>
                    <xdr:row>10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leDoc" ma:contentTypeID="0x0101007C0EA845696D1948BDEEFC7B350361630100B08C5A147E46AA43866F3438FE350128" ma:contentTypeVersion="24" ma:contentTypeDescription="Create a new document." ma:contentTypeScope="" ma:versionID="39fbdf46a9865b6b76d1204b5852872f">
  <xsd:schema xmlns:xsd="http://www.w3.org/2001/XMLSchema" xmlns:xs="http://www.w3.org/2001/XMLSchema" xmlns:p="http://schemas.microsoft.com/office/2006/metadata/properties" xmlns:ns2="ecb119d4-d563-4bdc-ad82-2d690c88c5f7" xmlns:ns3="484c8c59-755d-4516-b8d2-1621b38262b4" xmlns:ns4="e27b0c4a-e52c-4a9d-a1f2-444a905929e2" xmlns:ns5="94ffc4b0-5353-4349-8cc3-8e471de1b72c" xmlns:ns6="7b2bf855-4b99-4523-8a28-c0526f8a6830" xmlns:ns7="http://schemas.microsoft.com/sharepoint/v4" targetNamespace="http://schemas.microsoft.com/office/2006/metadata/properties" ma:root="true" ma:fieldsID="5898535b504524cc298469d0c983656a" ns2:_="" ns3:_="" ns4:_="" ns5:_="" ns6:_="" ns7:_="">
    <xsd:import namespace="ecb119d4-d563-4bdc-ad82-2d690c88c5f7"/>
    <xsd:import namespace="484c8c59-755d-4516-b8d2-1621b38262b4"/>
    <xsd:import namespace="e27b0c4a-e52c-4a9d-a1f2-444a905929e2"/>
    <xsd:import namespace="94ffc4b0-5353-4349-8cc3-8e471de1b72c"/>
    <xsd:import namespace="7b2bf855-4b99-4523-8a28-c0526f8a683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1c276be9cfa481895358bbd606e8e03" minOccurs="0"/>
                <xsd:element ref="ns3:TaxCatchAll" minOccurs="0"/>
                <xsd:element ref="ns3:TaxCatchAllLabel" minOccurs="0"/>
                <xsd:element ref="ns2:j5f5c22b761e4082b8e8a133044a7d58" minOccurs="0"/>
                <xsd:element ref="ns5:TfRevision" minOccurs="0"/>
                <xsd:element ref="ns5:TfPeriod" minOccurs="0"/>
                <xsd:element ref="ns2:f5f81750012343d1806eba8e7b10aae7" minOccurs="0"/>
                <xsd:element ref="ns2:f2915d3f92ea4bb79247451729792765" minOccurs="0"/>
                <xsd:element ref="ns5:TfSourcePath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DateTaken" minOccurs="0"/>
                <xsd:element ref="ns6:MediaLengthInSecond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7:IconOverlay" minOccurs="0"/>
                <xsd:element ref="ns4:_dlc_DocId" minOccurs="0"/>
                <xsd:element ref="ns4:_dlc_DocIdUrl" minOccurs="0"/>
                <xsd:element ref="ns4:_dlc_DocIdPersistId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119d4-d563-4bdc-ad82-2d690c88c5f7" elementFormDefault="qualified">
    <xsd:import namespace="http://schemas.microsoft.com/office/2006/documentManagement/types"/>
    <xsd:import namespace="http://schemas.microsoft.com/office/infopath/2007/PartnerControls"/>
    <xsd:element name="c1c276be9cfa481895358bbd606e8e03" ma:index="8" nillable="true" ma:taxonomy="true" ma:internalName="c1c276be9cfa481895358bbd606e8e03" ma:taxonomyFieldName="TfBusinessProcess" ma:displayName="Business Process" ma:default="" ma:fieldId="{c1c276be-9cfa-4818-9535-8bbd606e8e03}" ma:sspId="7f0aa716-bba0-4bb8-a561-918f9f9bf113" ma:termSetId="ed0ad9fd-18c4-4ad5-951f-e822bc0acb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f5c22b761e4082b8e8a133044a7d58" ma:index="12" nillable="true" ma:taxonomy="true" ma:internalName="j5f5c22b761e4082b8e8a133044a7d58" ma:taxonomyFieldName="TfClassification" ma:displayName="Classification" ma:default="" ma:fieldId="{35f5c22b-761e-4082-b8e8-a133044a7d58}" ma:sspId="7f0aa716-bba0-4bb8-a561-918f9f9bf113" ma:termSetId="2113eb4f-eb0a-42e0-91a3-4320612ce358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5f81750012343d1806eba8e7b10aae7" ma:index="16" nillable="true" ma:taxonomy="true" ma:internalName="f5f81750012343d1806eba8e7b10aae7" ma:taxonomyFieldName="TfDocType" ma:displayName="Document Type" ma:default="" ma:fieldId="{f5f81750-0123-43d1-806e-ba8e7b10aae7}" ma:sspId="7f0aa716-bba0-4bb8-a561-918f9f9bf113" ma:termSetId="516db3bc-1f56-4005-9466-6bd52177fb3d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2915d3f92ea4bb79247451729792765" ma:index="18" nillable="true" ma:taxonomy="true" ma:internalName="f2915d3f92ea4bb79247451729792765" ma:taxonomyFieldName="TfProject" ma:displayName="Project" ma:default="" ma:fieldId="{f2915d3f-92ea-4bb7-9247-451729792765}" ma:sspId="7f0aa716-bba0-4bb8-a561-918f9f9bf113" ma:termSetId="496cdf85-4955-4878-95d4-a5a02def46d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8d0a488d-ccec-4866-9823-061a664d4d51}" ma:internalName="TaxCatchAll" ma:showField="CatchAllData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d0a488d-ccec-4866-9823-061a664d4d51}" ma:internalName="TaxCatchAllLabel" ma:readOnly="true" ma:showField="CatchAllDataLabel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0c4a-e52c-4a9d-a1f2-444a905929e2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32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3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fc4b0-5353-4349-8cc3-8e471de1b72c" elementFormDefault="qualified">
    <xsd:import namespace="http://schemas.microsoft.com/office/2006/documentManagement/types"/>
    <xsd:import namespace="http://schemas.microsoft.com/office/infopath/2007/PartnerControls"/>
    <xsd:element name="TfRevision" ma:index="14" nillable="true" ma:displayName="Document Revision" ma:internalName="TfRevision" ma:readOnly="false" ma:percentage="FALSE">
      <xsd:simpleType>
        <xsd:restriction base="dms:Number"/>
      </xsd:simpleType>
    </xsd:element>
    <xsd:element name="TfPeriod" ma:index="15" nillable="true" ma:displayName="Period" ma:format="DateOnly" ma:internalName="TfPeriod" ma:readOnly="false">
      <xsd:simpleType>
        <xsd:restriction base="dms:DateTime"/>
      </xsd:simpleType>
    </xsd:element>
    <xsd:element name="TfSourcePath" ma:index="20" nillable="true" ma:displayName="Source Path" ma:internalName="TfSourcePath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bf855-4b99-4523-8a28-c0526f8a6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bf855-4b99-4523-8a28-c0526f8a6830">
      <Terms xmlns="http://schemas.microsoft.com/office/infopath/2007/PartnerControls"/>
    </lcf76f155ced4ddcb4097134ff3c332f>
    <TaxCatchAll xmlns="484c8c59-755d-4516-b8d2-1621b38262b4">
      <Value>16</Value>
      <Value>12</Value>
    </TaxCatchAll>
    <_dlc_DocId xmlns="e27b0c4a-e52c-4a9d-a1f2-444a905929e2">CMFPA-1271669082-30896</_dlc_DocId>
    <_dlc_DocIdUrl xmlns="e27b0c4a-e52c-4a9d-a1f2-444a905929e2">
      <Url>https://telefilm.sharepoint.com/sites/T_APFMC-CMFPA/_layouts/15/DocIdRedir.aspx?ID=CMFPA-1271669082-30896</Url>
      <Description>CMFPA-1271669082-30896</Description>
    </_dlc_DocIdUrl>
    <TfSourcePath xmlns="94ffc4b0-5353-4349-8cc3-8e471de1b72c" xsi:nil="true"/>
    <IconOverlay xmlns="http://schemas.microsoft.com/sharepoint/v4" xsi:nil="true"/>
    <c1c276be9cfa481895358bbd606e8e03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APFMC</TermName>
          <TermId xmlns="http://schemas.microsoft.com/office/infopath/2007/PartnerControls">5e323734-3c20-4f43-979b-7ae025a18a69</TermId>
        </TermInfo>
      </Terms>
    </c1c276be9cfa481895358bbd606e8e03>
    <TfRevision xmlns="94ffc4b0-5353-4349-8cc3-8e471de1b72c" xsi:nil="true"/>
    <f5f81750012343d1806eba8e7b10aae7 xmlns="ecb119d4-d563-4bdc-ad82-2d690c88c5f7">
      <Terms xmlns="http://schemas.microsoft.com/office/infopath/2007/PartnerControls"/>
    </f5f81750012343d1806eba8e7b10aae7>
    <f2915d3f92ea4bb79247451729792765 xmlns="ecb119d4-d563-4bdc-ad82-2d690c88c5f7">
      <Terms xmlns="http://schemas.microsoft.com/office/infopath/2007/PartnerControls"/>
    </f2915d3f92ea4bb79247451729792765>
    <j5f5c22b761e4082b8e8a133044a7d58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and Contracting</TermName>
          <TermId xmlns="http://schemas.microsoft.com/office/infopath/2007/PartnerControls">f8978233-d840-4582-836a-26dd0dc426dc</TermId>
        </TermInfo>
      </Terms>
    </j5f5c22b761e4082b8e8a133044a7d58>
    <TfPeriod xmlns="94ffc4b0-5353-4349-8cc3-8e471de1b72c" xsi:nil="true"/>
  </documentManagement>
</p:properties>
</file>

<file path=customXml/itemProps1.xml><?xml version="1.0" encoding="utf-8"?>
<ds:datastoreItem xmlns:ds="http://schemas.openxmlformats.org/officeDocument/2006/customXml" ds:itemID="{E75C3807-BA35-4B6B-BBAE-734FE68C8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7FC62-2DAA-4140-88C9-EFB43A985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119d4-d563-4bdc-ad82-2d690c88c5f7"/>
    <ds:schemaRef ds:uri="484c8c59-755d-4516-b8d2-1621b38262b4"/>
    <ds:schemaRef ds:uri="e27b0c4a-e52c-4a9d-a1f2-444a905929e2"/>
    <ds:schemaRef ds:uri="94ffc4b0-5353-4349-8cc3-8e471de1b72c"/>
    <ds:schemaRef ds:uri="7b2bf855-4b99-4523-8a28-c0526f8a683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5257D9-21A7-4579-AE3E-2027C57BC59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8758206-B560-42EC-A4CC-D7E95417425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dc2e72fa-f2bf-4b7e-897e-98e66666beee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995c7fa0-c7ce-4135-b1bb-e7af7b680b45"/>
    <ds:schemaRef ds:uri="7b2bf855-4b99-4523-8a28-c0526f8a6830"/>
    <ds:schemaRef ds:uri="484c8c59-755d-4516-b8d2-1621b38262b4"/>
    <ds:schemaRef ds:uri="e27b0c4a-e52c-4a9d-a1f2-444a905929e2"/>
    <ds:schemaRef ds:uri="94ffc4b0-5353-4349-8cc3-8e471de1b72c"/>
    <ds:schemaRef ds:uri="http://schemas.microsoft.com/sharepoint/v4"/>
    <ds:schemaRef ds:uri="ecb119d4-d563-4bdc-ad82-2d690c88c5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ENGLISH</vt:lpstr>
      <vt:lpstr>FRANÇAIS</vt:lpstr>
      <vt:lpstr>ENGLISH!Zone_d_impression</vt:lpstr>
      <vt:lpstr>FRANÇAIS!Zone_d_impression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2026-04-21T20:12:28Z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0x0101007C0EA845696D1948BDEEFC7B350361630100B08C5A147E46AA43866F3438FE350128</vt:lpwstr>
  </property>
  <property fmtid="{D5CDD505-2E9C-101B-9397-08002B2CF9AE}" pid="3" name="_dlc_DocIdItemGuid">
    <vt:lpwstr>87a9b47b-10e5-43a4-9fb9-97fc5d43a99b</vt:lpwstr>
  </property>
  <property fmtid="{D5CDD505-2E9C-101B-9397-08002B2CF9AE}" pid="4" name="MediaServiceImageTags">
    <vt:lpwstr/>
  </property>
  <property fmtid="{D5CDD505-2E9C-101B-9397-08002B2CF9AE}" pid="5" name="TfBusinessProcess">
    <vt:lpwstr>12;#APFMC|5e323734-3c20-4f43-979b-7ae025a18a69</vt:lpwstr>
  </property>
  <property fmtid="{D5CDD505-2E9C-101B-9397-08002B2CF9AE}" pid="6" name="TfClassification">
    <vt:lpwstr>16;#Analysis and Contracting|f8978233-d840-4582-836a-26dd0dc426dc</vt:lpwstr>
  </property>
  <property fmtid="{D5CDD505-2E9C-101B-9397-08002B2CF9AE}" pid="7" name="TfDocType">
    <vt:lpwstr/>
  </property>
  <property fmtid="{D5CDD505-2E9C-101B-9397-08002B2CF9AE}" pid="8" name="TfProject">
    <vt:lpwstr/>
  </property>
</Properties>
</file>