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532" documentId="8_{5199F4D5-6E61-45B2-BD75-320833B9EBAD}" xr6:coauthVersionLast="47" xr6:coauthVersionMax="47" xr10:uidLastSave="{0BC4C240-44E7-40BD-90B0-7DC8CBDBFB9D}"/>
  <bookViews>
    <workbookView xWindow="28680" yWindow="-120" windowWidth="29040" windowHeight="15840" xr2:uid="{00000000-000D-0000-FFFF-FFFF00000000}"/>
  </bookViews>
  <sheets>
    <sheet name="ENGLISH" sheetId="4" r:id="rId1"/>
    <sheet name="FRANÇAIS" sheetId="2" r:id="rId2"/>
  </sheets>
  <definedNames>
    <definedName name="_xlnm.Print_Area" localSheetId="0">ENGLISH!$A$1:$L$89</definedName>
    <definedName name="_xlnm.Print_Area" localSheetId="1">FRANÇAIS!$A$1:$L$86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2" l="1"/>
  <c r="B90" i="2"/>
  <c r="B97" i="4"/>
  <c r="B95" i="4"/>
  <c r="B93" i="4"/>
  <c r="F92" i="2"/>
  <c r="F90" i="2"/>
  <c r="F97" i="4"/>
  <c r="F95" i="4"/>
  <c r="G95" i="4" s="1"/>
  <c r="F93" i="4"/>
  <c r="G93" i="4" s="1"/>
  <c r="D100" i="4"/>
  <c r="K97" i="4"/>
  <c r="L97" i="4" s="1"/>
  <c r="M97" i="4" s="1"/>
  <c r="I97" i="4"/>
  <c r="J97" i="4" s="1"/>
  <c r="H97" i="4"/>
  <c r="G97" i="4"/>
  <c r="E97" i="4"/>
  <c r="C97" i="4"/>
  <c r="D97" i="4" s="1"/>
  <c r="L95" i="4"/>
  <c r="M95" i="4" s="1"/>
  <c r="K95" i="4"/>
  <c r="J95" i="4"/>
  <c r="I95" i="4"/>
  <c r="H95" i="4"/>
  <c r="E95" i="4"/>
  <c r="C95" i="4"/>
  <c r="D95" i="4" s="1"/>
  <c r="K93" i="4"/>
  <c r="L93" i="4" s="1"/>
  <c r="M93" i="4" s="1"/>
  <c r="I93" i="4"/>
  <c r="J93" i="4" s="1"/>
  <c r="H93" i="4"/>
  <c r="E93" i="4"/>
  <c r="C93" i="4"/>
  <c r="D93" i="4" s="1"/>
  <c r="K90" i="4"/>
  <c r="J87" i="4"/>
  <c r="G87" i="4"/>
  <c r="E87" i="4"/>
  <c r="H87" i="4" s="1"/>
  <c r="D87" i="4"/>
  <c r="J85" i="4"/>
  <c r="G85" i="4"/>
  <c r="E85" i="4"/>
  <c r="H85" i="4" s="1"/>
  <c r="D85" i="4"/>
  <c r="E84" i="4"/>
  <c r="H84" i="4" s="1"/>
  <c r="D84" i="4"/>
  <c r="E83" i="4"/>
  <c r="J83" i="4" s="1"/>
  <c r="D83" i="4"/>
  <c r="H82" i="4"/>
  <c r="E82" i="4"/>
  <c r="J82" i="4" s="1"/>
  <c r="D82" i="4"/>
  <c r="D81" i="4"/>
  <c r="E81" i="4" s="1"/>
  <c r="D80" i="4"/>
  <c r="E80" i="4" s="1"/>
  <c r="D79" i="4"/>
  <c r="E79" i="4" s="1"/>
  <c r="J77" i="4"/>
  <c r="G77" i="4"/>
  <c r="E77" i="4"/>
  <c r="H77" i="4" s="1"/>
  <c r="D77" i="4"/>
  <c r="J75" i="4"/>
  <c r="G75" i="4"/>
  <c r="E75" i="4"/>
  <c r="H75" i="4" s="1"/>
  <c r="D75" i="4"/>
  <c r="E74" i="4"/>
  <c r="H74" i="4" s="1"/>
  <c r="D74" i="4"/>
  <c r="J72" i="4"/>
  <c r="I72" i="4"/>
  <c r="G72" i="4"/>
  <c r="E72" i="4"/>
  <c r="H72" i="4" s="1"/>
  <c r="D72" i="4"/>
  <c r="D71" i="4"/>
  <c r="E71" i="4" s="1"/>
  <c r="H70" i="4"/>
  <c r="E70" i="4"/>
  <c r="J70" i="4" s="1"/>
  <c r="D70" i="4"/>
  <c r="H64" i="4"/>
  <c r="D64" i="4"/>
  <c r="B64" i="4"/>
  <c r="H62" i="4"/>
  <c r="G45" i="4" s="1"/>
  <c r="D62" i="4"/>
  <c r="B62" i="4"/>
  <c r="H60" i="4"/>
  <c r="D60" i="4"/>
  <c r="B60" i="4"/>
  <c r="H58" i="4"/>
  <c r="G43" i="4" s="1"/>
  <c r="D58" i="4"/>
  <c r="B58" i="4"/>
  <c r="H56" i="4"/>
  <c r="D56" i="4"/>
  <c r="B56" i="4"/>
  <c r="K54" i="4"/>
  <c r="H54" i="4"/>
  <c r="F54" i="4"/>
  <c r="D54" i="4"/>
  <c r="B54" i="4"/>
  <c r="F48" i="4"/>
  <c r="C48" i="4"/>
  <c r="E48" i="4" s="1"/>
  <c r="B48" i="4"/>
  <c r="A48" i="4"/>
  <c r="R46" i="4"/>
  <c r="Q46" i="4"/>
  <c r="P46" i="4"/>
  <c r="K46" i="4"/>
  <c r="G46" i="4"/>
  <c r="F46" i="4"/>
  <c r="B46" i="4"/>
  <c r="R45" i="4"/>
  <c r="Q45" i="4"/>
  <c r="P45" i="4"/>
  <c r="K45" i="4"/>
  <c r="J45" i="4"/>
  <c r="F45" i="4"/>
  <c r="B45" i="4"/>
  <c r="R44" i="4"/>
  <c r="Q44" i="4"/>
  <c r="P44" i="4"/>
  <c r="K44" i="4"/>
  <c r="I44" i="4"/>
  <c r="G44" i="4"/>
  <c r="F44" i="4"/>
  <c r="B44" i="4"/>
  <c r="R43" i="4"/>
  <c r="Q43" i="4"/>
  <c r="P43" i="4"/>
  <c r="K43" i="4"/>
  <c r="I43" i="4"/>
  <c r="H43" i="4"/>
  <c r="F43" i="4"/>
  <c r="B43" i="4"/>
  <c r="S42" i="4"/>
  <c r="R42" i="4"/>
  <c r="S43" i="4" s="1"/>
  <c r="Q42" i="4"/>
  <c r="P42" i="4"/>
  <c r="K42" i="4"/>
  <c r="G42" i="4"/>
  <c r="F42" i="4"/>
  <c r="B42" i="4"/>
  <c r="R41" i="4"/>
  <c r="S44" i="4" s="1"/>
  <c r="Q41" i="4"/>
  <c r="P41" i="4"/>
  <c r="K41" i="4"/>
  <c r="K47" i="4" s="1"/>
  <c r="G41" i="4"/>
  <c r="G47" i="4" s="1"/>
  <c r="F41" i="4"/>
  <c r="B41" i="4"/>
  <c r="F40" i="4"/>
  <c r="E40" i="4"/>
  <c r="G30" i="4"/>
  <c r="J43" i="4" s="1"/>
  <c r="F30" i="4"/>
  <c r="I42" i="4" s="1"/>
  <c r="E30" i="4"/>
  <c r="H42" i="4" s="1"/>
  <c r="D30" i="4"/>
  <c r="I29" i="4"/>
  <c r="I28" i="4"/>
  <c r="I27" i="4"/>
  <c r="I26" i="4"/>
  <c r="I25" i="4"/>
  <c r="I24" i="4"/>
  <c r="C23" i="4"/>
  <c r="C30" i="4" s="1"/>
  <c r="E47" i="4" s="1"/>
  <c r="C40" i="4" s="1"/>
  <c r="E15" i="4"/>
  <c r="A13" i="4"/>
  <c r="L12" i="4"/>
  <c r="M12" i="4" s="1"/>
  <c r="F9" i="4"/>
  <c r="L8" i="4"/>
  <c r="L11" i="4" s="1"/>
  <c r="M11" i="4" s="1"/>
  <c r="L7" i="4"/>
  <c r="F47" i="4" l="1"/>
  <c r="F49" i="4" s="1"/>
  <c r="J71" i="4"/>
  <c r="J47" i="4" s="1"/>
  <c r="I71" i="4"/>
  <c r="H71" i="4"/>
  <c r="H47" i="4" s="1"/>
  <c r="L47" i="4" s="1"/>
  <c r="G71" i="4"/>
  <c r="J79" i="4"/>
  <c r="H79" i="4"/>
  <c r="G79" i="4"/>
  <c r="J80" i="4"/>
  <c r="H80" i="4"/>
  <c r="G80" i="4"/>
  <c r="M42" i="4"/>
  <c r="K48" i="4"/>
  <c r="J48" i="4"/>
  <c r="G81" i="4"/>
  <c r="J81" i="4"/>
  <c r="H81" i="4"/>
  <c r="E49" i="4"/>
  <c r="E46" i="4"/>
  <c r="E41" i="4"/>
  <c r="C47" i="4"/>
  <c r="E42" i="4"/>
  <c r="E43" i="4"/>
  <c r="E45" i="4"/>
  <c r="E44" i="4"/>
  <c r="D40" i="4"/>
  <c r="M43" i="4"/>
  <c r="F56" i="4"/>
  <c r="J74" i="4"/>
  <c r="G83" i="4"/>
  <c r="F60" i="4"/>
  <c r="H46" i="4"/>
  <c r="M46" i="4" s="1"/>
  <c r="S46" i="4"/>
  <c r="F64" i="4" s="1"/>
  <c r="H83" i="4"/>
  <c r="H45" i="4"/>
  <c r="M45" i="4" s="1"/>
  <c r="S45" i="4"/>
  <c r="F62" i="4" s="1"/>
  <c r="I46" i="4"/>
  <c r="J42" i="4"/>
  <c r="J84" i="4"/>
  <c r="M41" i="4"/>
  <c r="H44" i="4"/>
  <c r="M44" i="4" s="1"/>
  <c r="I45" i="4"/>
  <c r="J46" i="4"/>
  <c r="F58" i="4"/>
  <c r="G70" i="4"/>
  <c r="G82" i="4"/>
  <c r="I70" i="4"/>
  <c r="I47" i="4" s="1"/>
  <c r="G74" i="4"/>
  <c r="G84" i="4"/>
  <c r="J44" i="4"/>
  <c r="E47" i="2"/>
  <c r="I47" i="2"/>
  <c r="H47" i="2"/>
  <c r="M47" i="4" l="1"/>
  <c r="C44" i="4"/>
  <c r="D44" i="4" s="1"/>
  <c r="C45" i="4"/>
  <c r="D45" i="4" s="1"/>
  <c r="C41" i="4"/>
  <c r="D41" i="4" s="1"/>
  <c r="C49" i="4"/>
  <c r="C46" i="4"/>
  <c r="D46" i="4" s="1"/>
  <c r="C42" i="4"/>
  <c r="D42" i="4" s="1"/>
  <c r="C43" i="4"/>
  <c r="D43" i="4" s="1"/>
  <c r="D47" i="4"/>
  <c r="D49" i="4" s="1"/>
  <c r="K41" i="2"/>
  <c r="K42" i="2"/>
  <c r="K43" i="2"/>
  <c r="K44" i="2"/>
  <c r="K45" i="2"/>
  <c r="K46" i="2"/>
  <c r="C48" i="2"/>
  <c r="E40" i="2"/>
  <c r="H90" i="2"/>
  <c r="H92" i="2"/>
  <c r="K47" i="2" l="1"/>
  <c r="E92" i="2"/>
  <c r="K92" i="2" l="1"/>
  <c r="K90" i="2"/>
  <c r="D81" i="2" l="1"/>
  <c r="E81" i="2" s="1"/>
  <c r="D75" i="2"/>
  <c r="E75" i="2" s="1"/>
  <c r="D82" i="2" l="1"/>
  <c r="E82" i="2" s="1"/>
  <c r="D76" i="2"/>
  <c r="E76" i="2" s="1"/>
  <c r="D72" i="2"/>
  <c r="E72" i="2" s="1"/>
  <c r="D84" i="2"/>
  <c r="E84" i="2" s="1"/>
  <c r="D80" i="2"/>
  <c r="E80" i="2" s="1"/>
  <c r="D78" i="2"/>
  <c r="E78" i="2" s="1"/>
  <c r="D71" i="2"/>
  <c r="E71" i="2" s="1"/>
  <c r="D74" i="2"/>
  <c r="E74" i="2" s="1"/>
  <c r="D70" i="2"/>
  <c r="E70" i="2" s="1"/>
  <c r="A48" i="2"/>
  <c r="K87" i="2"/>
  <c r="L92" i="2"/>
  <c r="C23" i="2" l="1"/>
  <c r="R46" i="2"/>
  <c r="Q46" i="2"/>
  <c r="R45" i="2"/>
  <c r="Q45" i="2"/>
  <c r="R44" i="2"/>
  <c r="Q44" i="2"/>
  <c r="R43" i="2"/>
  <c r="Q43" i="2"/>
  <c r="R42" i="2"/>
  <c r="Q42" i="2"/>
  <c r="R41" i="2"/>
  <c r="S46" i="2" s="1"/>
  <c r="Q41" i="2"/>
  <c r="H64" i="2"/>
  <c r="D64" i="2"/>
  <c r="B64" i="2"/>
  <c r="H62" i="2"/>
  <c r="D62" i="2"/>
  <c r="B62" i="2"/>
  <c r="H60" i="2"/>
  <c r="D60" i="2"/>
  <c r="B60" i="2"/>
  <c r="H58" i="2"/>
  <c r="D58" i="2"/>
  <c r="B58" i="2"/>
  <c r="H56" i="2"/>
  <c r="D56" i="2"/>
  <c r="B56" i="2"/>
  <c r="K54" i="2"/>
  <c r="F54" i="2"/>
  <c r="D54" i="2"/>
  <c r="B54" i="2"/>
  <c r="P41" i="2"/>
  <c r="H54" i="2" l="1"/>
  <c r="S44" i="2"/>
  <c r="F60" i="2" s="1"/>
  <c r="S42" i="2"/>
  <c r="F56" i="2" s="1"/>
  <c r="S45" i="2"/>
  <c r="F62" i="2" s="1"/>
  <c r="S43" i="2"/>
  <c r="F58" i="2" s="1"/>
  <c r="F64" i="2"/>
  <c r="E90" i="2" l="1"/>
  <c r="G92" i="2" l="1"/>
  <c r="F40" i="2" l="1"/>
  <c r="B48" i="2"/>
  <c r="G30" i="2" l="1"/>
  <c r="L12" i="2" l="1"/>
  <c r="M12" i="2" s="1"/>
  <c r="I26" i="2" l="1"/>
  <c r="I27" i="2"/>
  <c r="I28" i="2"/>
  <c r="I29" i="2"/>
  <c r="F30" i="2" l="1"/>
  <c r="F9" i="2" l="1"/>
  <c r="D30" i="2"/>
  <c r="L7" i="2"/>
  <c r="P44" i="2"/>
  <c r="E30" i="2"/>
  <c r="P46" i="2"/>
  <c r="P45" i="2"/>
  <c r="I24" i="2"/>
  <c r="I25" i="2"/>
  <c r="B41" i="2"/>
  <c r="B42" i="2"/>
  <c r="B43" i="2"/>
  <c r="B44" i="2"/>
  <c r="B45" i="2"/>
  <c r="B46" i="2"/>
  <c r="G78" i="2" l="1"/>
  <c r="L8" i="2"/>
  <c r="H78" i="2"/>
  <c r="G41" i="2"/>
  <c r="G44" i="2"/>
  <c r="G43" i="2"/>
  <c r="M41" i="2" l="1"/>
  <c r="L11" i="2"/>
  <c r="M11" i="2" s="1"/>
  <c r="G45" i="2"/>
  <c r="G46" i="2"/>
  <c r="P42" i="2"/>
  <c r="P43" i="2"/>
  <c r="G42" i="2" l="1"/>
  <c r="G47" i="2" s="1"/>
  <c r="J48" i="2" l="1"/>
  <c r="H75" i="2" l="1"/>
  <c r="H81" i="2"/>
  <c r="H80" i="2"/>
  <c r="H84" i="2"/>
  <c r="H76" i="2"/>
  <c r="H82" i="2"/>
  <c r="H72" i="2"/>
  <c r="H74" i="2"/>
  <c r="H71" i="2"/>
  <c r="H70" i="2"/>
  <c r="K48" i="2" l="1"/>
  <c r="I72" i="2" l="1"/>
  <c r="I71" i="2"/>
  <c r="J84" i="2"/>
  <c r="J78" i="2"/>
  <c r="J76" i="2"/>
  <c r="H42" i="2"/>
  <c r="I70" i="2"/>
  <c r="H44" i="2"/>
  <c r="H45" i="2"/>
  <c r="H43" i="2"/>
  <c r="H46" i="2"/>
  <c r="J82" i="2" l="1"/>
  <c r="J80" i="2"/>
  <c r="J81" i="2"/>
  <c r="J71" i="2"/>
  <c r="J72" i="2"/>
  <c r="I43" i="2"/>
  <c r="J70" i="2"/>
  <c r="I44" i="2"/>
  <c r="J75" i="2"/>
  <c r="J74" i="2"/>
  <c r="I42" i="2"/>
  <c r="I45" i="2"/>
  <c r="I46" i="2"/>
  <c r="J47" i="2" l="1"/>
  <c r="L47" i="2" s="1"/>
  <c r="G80" i="2"/>
  <c r="J69" i="2" l="1"/>
  <c r="G72" i="2"/>
  <c r="G84" i="2"/>
  <c r="G71" i="2"/>
  <c r="G81" i="2"/>
  <c r="G82" i="2"/>
  <c r="G76" i="2"/>
  <c r="G75" i="2"/>
  <c r="J42" i="2"/>
  <c r="G74" i="2"/>
  <c r="G70" i="2"/>
  <c r="J43" i="2"/>
  <c r="M43" i="2" s="1"/>
  <c r="J46" i="2"/>
  <c r="M46" i="2" s="1"/>
  <c r="J44" i="2"/>
  <c r="M44" i="2" s="1"/>
  <c r="J45" i="2"/>
  <c r="M45" i="2" s="1"/>
  <c r="M42" i="2" l="1"/>
  <c r="M47" i="2" s="1"/>
  <c r="C30" i="2" l="1"/>
  <c r="E15" i="2" l="1"/>
  <c r="G90" i="2"/>
  <c r="L90" i="2" l="1"/>
  <c r="M90" i="2" s="1"/>
  <c r="I90" i="2"/>
  <c r="J90" i="2" s="1"/>
  <c r="M92" i="2"/>
  <c r="C90" i="2" l="1"/>
  <c r="D90" i="2" s="1"/>
  <c r="F48" i="2" l="1"/>
  <c r="E48" i="2"/>
  <c r="I92" i="2" l="1"/>
  <c r="J92" i="2" s="1"/>
  <c r="C92" i="2" l="1"/>
  <c r="D92" i="2" s="1"/>
  <c r="E43" i="2" l="1"/>
  <c r="C40" i="2"/>
  <c r="D40" i="2" s="1"/>
  <c r="E49" i="2"/>
  <c r="E44" i="2"/>
  <c r="E45" i="2"/>
  <c r="C47" i="2"/>
  <c r="E42" i="2"/>
  <c r="E46" i="2"/>
  <c r="E41" i="2"/>
  <c r="F45" i="2" l="1"/>
  <c r="F42" i="2"/>
  <c r="C43" i="2"/>
  <c r="D43" i="2" s="1"/>
  <c r="C41" i="2"/>
  <c r="D41" i="2" s="1"/>
  <c r="C42" i="2"/>
  <c r="D42" i="2" s="1"/>
  <c r="C49" i="2"/>
  <c r="C45" i="2"/>
  <c r="D45" i="2" s="1"/>
  <c r="C44" i="2"/>
  <c r="D44" i="2" s="1"/>
  <c r="C46" i="2"/>
  <c r="D46" i="2" s="1"/>
  <c r="F44" i="2"/>
  <c r="D47" i="2"/>
  <c r="D49" i="2" s="1"/>
  <c r="F41" i="2"/>
  <c r="F46" i="2"/>
  <c r="F43" i="2"/>
  <c r="F47" i="2" l="1"/>
  <c r="F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7" authorId="0" shapeId="0" xr:uid="{31CB35ED-4F93-45A5-8619-37A0357D48DA}">
      <text>
        <r>
          <rPr>
            <b/>
            <sz val="9"/>
            <color indexed="81"/>
            <rFont val="Tahoma"/>
            <family val="2"/>
          </rPr>
          <t xml:space="preserve">Must be Canadian eligible costs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5880DE68-23AE-4830-A900-344BF5075606}">
      <text>
        <r>
          <rPr>
            <sz val="9"/>
            <color indexed="81"/>
            <rFont val="Tahoma"/>
            <family val="2"/>
          </rPr>
          <t xml:space="preserve">Knowledge Network, Télé-Québec, TFO and TVO
</t>
        </r>
      </text>
    </comment>
    <comment ref="E12" authorId="0" shapeId="0" xr:uid="{1CF6BA9B-213E-4D5C-BCEB-38F8F22104A9}">
      <text>
        <r>
          <rPr>
            <b/>
            <sz val="9"/>
            <color indexed="81"/>
            <rFont val="Tahoma"/>
            <family val="2"/>
          </rPr>
          <t>If Yes, enter the Incentive amount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7" authorId="0" shapeId="0" xr:uid="{541D1876-5A87-41EC-932E-20E7D63A361D}">
      <text>
        <r>
          <rPr>
            <b/>
            <sz val="9"/>
            <color indexed="81"/>
            <rFont val="Tahoma"/>
            <family val="2"/>
          </rPr>
          <t>Doit correspondre aux dépenses admissibles canadiennes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1767CBD1-3518-46E1-98FC-E39D7082854B}">
      <text>
        <r>
          <rPr>
            <sz val="9"/>
            <color indexed="81"/>
            <rFont val="Tahoma"/>
            <family val="2"/>
          </rPr>
          <t>Knowledge Network, Télé-Québec, TFO et TVO</t>
        </r>
      </text>
    </comment>
    <comment ref="E12" authorId="0" shapeId="0" xr:uid="{2690BB2B-6CC4-4C34-A86C-0DEEF9CF1790}">
      <text>
        <r>
          <rPr>
            <b/>
            <sz val="9"/>
            <color indexed="81"/>
            <rFont val="Tahoma"/>
            <family val="2"/>
          </rPr>
          <t>Si oui, veuillez entrer le montant de la mesure incitative dans cette cellule</t>
        </r>
      </text>
    </comment>
  </commentList>
</comments>
</file>

<file path=xl/sharedStrings.xml><?xml version="1.0" encoding="utf-8"?>
<sst xmlns="http://schemas.openxmlformats.org/spreadsheetml/2006/main" count="388" uniqueCount="247">
  <si>
    <t>Project
Name:</t>
  </si>
  <si>
    <t>Project No:</t>
  </si>
  <si>
    <t>Budget/Final Cost</t>
  </si>
  <si>
    <t>Number of Episodes</t>
  </si>
  <si>
    <t>Episode Length 
(in Min.)</t>
  </si>
  <si>
    <t>Total Hours</t>
  </si>
  <si>
    <t xml:space="preserve">Budget/Hour </t>
  </si>
  <si>
    <t>Are all Broadcasters Educational?</t>
  </si>
  <si>
    <t>No</t>
  </si>
  <si>
    <t>Is there an Incentive Program?</t>
  </si>
  <si>
    <t>Yes</t>
  </si>
  <si>
    <t>Carbon calculator required?</t>
  </si>
  <si>
    <t>Described video required?</t>
  </si>
  <si>
    <t>Budget Category (Genre)</t>
  </si>
  <si>
    <t>(1): Enter Canadian broadcasters and licences first and in order of start of term dates</t>
  </si>
  <si>
    <t>(2): If the project has both English and French licences, do not complete the "Exclusivity" column</t>
  </si>
  <si>
    <t>For the Canadian Broadcaster(s)</t>
  </si>
  <si>
    <t>International Entity
(Intl. Right)  Children &amp; Youth only</t>
  </si>
  <si>
    <r>
      <t xml:space="preserve">Start of Term Date </t>
    </r>
    <r>
      <rPr>
        <b/>
        <sz val="10"/>
        <color rgb="FF1F497D"/>
        <rFont val="Calibri"/>
        <family val="2"/>
        <scheme val="minor"/>
      </rPr>
      <t>(1)</t>
    </r>
  </si>
  <si>
    <t>End of Term Date</t>
  </si>
  <si>
    <t>Term Length
(in Months)</t>
  </si>
  <si>
    <t>Language</t>
  </si>
  <si>
    <t># 1</t>
  </si>
  <si>
    <t># 2</t>
  </si>
  <si>
    <t># 3</t>
  </si>
  <si>
    <t># 4</t>
  </si>
  <si>
    <t># 5</t>
  </si>
  <si>
    <t># 6</t>
  </si>
  <si>
    <t>Notes:</t>
  </si>
  <si>
    <t>Maximum Terms, Broadcaster Envelope Program Contributions, Eligible Licence Fees and Minimum Market Contribution (MMC):</t>
  </si>
  <si>
    <t>MMC</t>
  </si>
  <si>
    <t>Maximum Licence Fee  Top-Up</t>
  </si>
  <si>
    <t xml:space="preserve">CMF Contribution </t>
  </si>
  <si>
    <t>% CMF Contribution of Budget</t>
  </si>
  <si>
    <t>Total Eligible Triggering Commitment</t>
  </si>
  <si>
    <t>N/A</t>
  </si>
  <si>
    <t xml:space="preserve"> </t>
  </si>
  <si>
    <t>Licence Term Calculation:</t>
  </si>
  <si>
    <t>÷</t>
  </si>
  <si>
    <t>x</t>
  </si>
  <si>
    <t>=</t>
  </si>
  <si>
    <t>Last Day of Maximum Term:</t>
  </si>
  <si>
    <t>Total Licence</t>
  </si>
  <si>
    <t>Term Months</t>
  </si>
  <si>
    <t>Maximum Term</t>
  </si>
  <si>
    <t>Pro-Rated Amount</t>
  </si>
  <si>
    <t>Eligible Triggering Commitment Threshold:</t>
  </si>
  <si>
    <t>Budget Category</t>
  </si>
  <si>
    <t>Formula</t>
  </si>
  <si>
    <t>Calculated Amount</t>
  </si>
  <si>
    <t xml:space="preserve">Threshold Respected? </t>
  </si>
  <si>
    <t>Over OR
 (Shortfall)</t>
  </si>
  <si>
    <t xml:space="preserve">     * CHILDREN &amp; YOUTH *</t>
  </si>
  <si>
    <t>100% Animated Eligible Projects</t>
  </si>
  <si>
    <t>Theatrically-released Animated Feature Films</t>
  </si>
  <si>
    <t xml:space="preserve">     * DOCUMENTARY *</t>
  </si>
  <si>
    <t xml:space="preserve">     * DRAMA *</t>
  </si>
  <si>
    <t>All projects less than $800,000/hour</t>
  </si>
  <si>
    <t>Series or one-off equal/more than $800,000/hour</t>
  </si>
  <si>
    <t>Theatrically-released Feature Films</t>
  </si>
  <si>
    <t>1/2-hour pilot greater than $700,000 per 1/2hour</t>
  </si>
  <si>
    <t>1-hour pilot greater than $1,750,000/hour</t>
  </si>
  <si>
    <t>English Regional Production Bonus</t>
  </si>
  <si>
    <t xml:space="preserve">     * VAPA *</t>
  </si>
  <si>
    <t>Anglophone Minority Incentive</t>
  </si>
  <si>
    <t>Maximum CMF Contribution:</t>
  </si>
  <si>
    <t xml:space="preserve">CMF Contribution    </t>
  </si>
  <si>
    <t>Broadcaster Envelope Program</t>
  </si>
  <si>
    <t>CMF Maximum</t>
  </si>
  <si>
    <t>Max. Contribution Respected?</t>
  </si>
  <si>
    <t>Over</t>
  </si>
  <si>
    <t xml:space="preserve">BEP Maximum </t>
  </si>
  <si>
    <t xml:space="preserve">Incentive Maximum </t>
  </si>
  <si>
    <r>
      <rPr>
        <b/>
        <sz val="12"/>
        <rFont val="Calibri"/>
        <family val="2"/>
        <scheme val="minor"/>
      </rPr>
      <t>2025-2026 - Feuille de calcul des exigences seuil pour les déclencheurs admissibles, de la contribution et durée maximale</t>
    </r>
    <r>
      <rPr>
        <b/>
        <sz val="14"/>
        <rFont val="Calibri"/>
        <family val="2"/>
        <scheme val="minor"/>
      </rPr>
      <t xml:space="preserve">
• Programme destiné aux communautés afro-descendantes et racisées (PCAR) • 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* see different sheet at the bottom for an English project</t>
    </r>
  </si>
  <si>
    <t>Titre du projet :</t>
  </si>
  <si>
    <t>No du projet :</t>
  </si>
  <si>
    <t>Date :</t>
  </si>
  <si>
    <t>Complétez toutes les cellules vertes</t>
  </si>
  <si>
    <t>Catégorie de devis :</t>
  </si>
  <si>
    <t>Devis/Coût final de production</t>
  </si>
  <si>
    <t>Nombre 
d'épisodes</t>
  </si>
  <si>
    <t>Durée des épisodes
(en min.)</t>
  </si>
  <si>
    <t>Nombre total d'heures</t>
  </si>
  <si>
    <t>Devis/Heure</t>
  </si>
  <si>
    <t>Les diffuseurs sont-ils tous éducatifs ?</t>
  </si>
  <si>
    <t>Non</t>
  </si>
  <si>
    <t>Y a-t-il une mesure incitative ?</t>
  </si>
  <si>
    <t>Oui</t>
  </si>
  <si>
    <t>Calculateur de carbone requis ?</t>
  </si>
  <si>
    <t>Vidéodescription requise?</t>
  </si>
  <si>
    <t>Y-a-t-il une allocation du Programme des enveloppes des télédiffuseurs ?</t>
  </si>
  <si>
    <t>Contribution du Programme des enveloppes des télédiffuseurs</t>
  </si>
  <si>
    <t>Contribution du PCAR</t>
  </si>
  <si>
    <t>(1) : Entrez les licences en premier et par ordre croissant de début des droits</t>
  </si>
  <si>
    <t>(2) : Lorsque le projet cumule des licences en français ET en anglais, ne pas compléter la colonne "Exclusivité"</t>
  </si>
  <si>
    <t>Pour chaque télédiffuseur canadien</t>
  </si>
  <si>
    <r>
      <t xml:space="preserve">Contribution FMC -
</t>
    </r>
    <r>
      <rPr>
        <b/>
        <sz val="10"/>
        <color rgb="FF1F497D"/>
        <rFont val="Calibri"/>
        <family val="2"/>
        <scheme val="minor"/>
      </rPr>
      <t>(Entrez les env. des télédiffuseurs)</t>
    </r>
  </si>
  <si>
    <t xml:space="preserve">Avance de distribution
(droits int.)
</t>
  </si>
  <si>
    <t>Entité internationale
(droits int.)
Enfants et jeunes seulement</t>
  </si>
  <si>
    <r>
      <t xml:space="preserve">Date de début de la période </t>
    </r>
    <r>
      <rPr>
        <b/>
        <sz val="10"/>
        <color rgb="FF1F497D"/>
        <rFont val="Calibri"/>
        <family val="2"/>
        <scheme val="minor"/>
      </rPr>
      <t>(1)</t>
    </r>
  </si>
  <si>
    <t>Date de fin de la période</t>
  </si>
  <si>
    <t>Durée de la période (en mois)</t>
  </si>
  <si>
    <r>
      <rPr>
        <b/>
        <sz val="10"/>
        <color rgb="FF000000"/>
        <rFont val="Calibri"/>
        <family val="2"/>
      </rPr>
      <t xml:space="preserve">Exclusivité 
(en mois) </t>
    </r>
    <r>
      <rPr>
        <b/>
        <sz val="10"/>
        <color rgb="FF1F497D"/>
        <rFont val="Calibri"/>
        <family val="2"/>
      </rPr>
      <t>(2)</t>
    </r>
  </si>
  <si>
    <t>Langue</t>
  </si>
  <si>
    <t>PCAR $</t>
  </si>
  <si>
    <t>n° 1</t>
  </si>
  <si>
    <t>n° 2</t>
  </si>
  <si>
    <t>n° 3</t>
  </si>
  <si>
    <t>n° 4</t>
  </si>
  <si>
    <t>n° 5</t>
  </si>
  <si>
    <t>n° 6</t>
  </si>
  <si>
    <t>Totaux :</t>
  </si>
  <si>
    <t>Remarques :</t>
  </si>
  <si>
    <t>Durées maximales, contributions du FMC, Droits de diffusion admissibles et Contribution minimale du marché (« CMM ») :</t>
  </si>
  <si>
    <t xml:space="preserve">CMM </t>
  </si>
  <si>
    <t>Montant admissible du supplément de droits de diffusion</t>
  </si>
  <si>
    <t xml:space="preserve">Montant admissible de la participation au capital </t>
  </si>
  <si>
    <t>Contribution  FMC admissible</t>
  </si>
  <si>
    <t xml:space="preserve"> % Contribution du FMC sur le devis</t>
  </si>
  <si>
    <t>Droits de diffusion admissibles (DDA)
canadiens</t>
  </si>
  <si>
    <r>
      <rPr>
        <b/>
        <sz val="10"/>
        <color rgb="FF000000"/>
        <rFont val="Calibri"/>
        <family val="2"/>
      </rPr>
      <t xml:space="preserve">Distributeur </t>
    </r>
    <r>
      <rPr>
        <b/>
        <sz val="10"/>
        <color rgb="FF1F497D"/>
        <rFont val="Calibri"/>
        <family val="2"/>
      </rPr>
      <t>(3)</t>
    </r>
  </si>
  <si>
    <r>
      <rPr>
        <b/>
        <sz val="10"/>
        <color rgb="FF000000"/>
        <rFont val="Calibri"/>
        <family val="2"/>
      </rPr>
      <t xml:space="preserve">Entité internationale
Pour Enfants et jeunes </t>
    </r>
    <r>
      <rPr>
        <b/>
        <sz val="10"/>
        <color rgb="FF1F497D"/>
        <rFont val="Calibri"/>
        <family val="2"/>
      </rPr>
      <t>(3)</t>
    </r>
  </si>
  <si>
    <t xml:space="preserve"> % sur le devis des
DDA &amp;
CMM</t>
  </si>
  <si>
    <t>Total pour les déclencheurs admissibles</t>
  </si>
  <si>
    <t>Surplus
Montants non déclencheurs</t>
  </si>
  <si>
    <t>Durée ajustée</t>
  </si>
  <si>
    <t>Durée d'exclusivité  ajustée</t>
  </si>
  <si>
    <t>Date révisée du début de la durée</t>
  </si>
  <si>
    <t>S/O</t>
  </si>
  <si>
    <t>Sous-total :</t>
  </si>
  <si>
    <t>Total :</t>
  </si>
  <si>
    <t>(3) : Seul le montant requis pour atteindre l'exigence seuil apparaîtra dans les colonnes des CMM (H, I ou J )</t>
  </si>
  <si>
    <t xml:space="preserve">Calcul de la durée des droits de diffusion : </t>
  </si>
  <si>
    <t>Dernier jour de la durée maximale</t>
  </si>
  <si>
    <t>Montant total des droits de diffusion</t>
  </si>
  <si>
    <t>Durée 
(en mois)</t>
  </si>
  <si>
    <t>Durée maximale</t>
  </si>
  <si>
    <t>Montant proportionnel</t>
  </si>
  <si>
    <t>Exigence seuil en matière de droits de diffusion :</t>
  </si>
  <si>
    <t>CMM permise</t>
  </si>
  <si>
    <t>Catégorie de devis</t>
  </si>
  <si>
    <t>Formule</t>
  </si>
  <si>
    <t>Calcul du montant</t>
  </si>
  <si>
    <t xml:space="preserve">Exigence seuil respectée ? </t>
  </si>
  <si>
    <t>Montant excédentaire OU (insuffisant)</t>
  </si>
  <si>
    <t>* Émissions pour enfants et jeunes *</t>
  </si>
  <si>
    <t>Tournage en direct</t>
  </si>
  <si>
    <t>Animation (excl. longs métrages d'animation lancés en salle)</t>
  </si>
  <si>
    <t>Longs métrages d’animation lancés en salle</t>
  </si>
  <si>
    <t>Moindre des 2:
5% ou 120 000 $</t>
  </si>
  <si>
    <t>* Documentaires *</t>
  </si>
  <si>
    <r>
      <t>Devis jusqu'à 400 000 $/heure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</si>
  <si>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r>
      <t>Devis supérieur à 400 000 $/heure (</t>
    </r>
    <r>
      <rPr>
        <u/>
        <sz val="10"/>
        <color indexed="8"/>
        <rFont val="Calibri"/>
        <family val="2"/>
        <scheme val="minor"/>
      </rPr>
      <t>excl. long métrage</t>
    </r>
    <r>
      <rPr>
        <sz val="10"/>
        <color indexed="8"/>
        <rFont val="Calibri"/>
        <family val="2"/>
        <scheme val="minor"/>
      </rPr>
      <t>)</t>
    </r>
  </si>
  <si>
    <t>Moindre des 2: 
10% ou 
60 000$/heure</t>
  </si>
  <si>
    <t>Long métrage documentaire</t>
  </si>
  <si>
    <t>Moindre des 2:
10% ou 60 000$</t>
  </si>
  <si>
    <t>* Variétés et Arts de la scène *</t>
  </si>
  <si>
    <t>Toutes les émisisons</t>
  </si>
  <si>
    <t>* Dramatiques *</t>
  </si>
  <si>
    <t>Devis égal ou supérieur à 800 000 $/heure</t>
  </si>
  <si>
    <t>Moindre des 2:
10% ou 
195 000 $/heure</t>
  </si>
  <si>
    <t>Mesure incitative pour les projets nordiques</t>
  </si>
  <si>
    <t>Téléfilms</t>
  </si>
  <si>
    <t>Moindre des 2:
10% ou 150 000 $</t>
  </si>
  <si>
    <t>Mesure incitative pour la production régionale de langue française au Québec</t>
  </si>
  <si>
    <t>* Animation *</t>
  </si>
  <si>
    <t>Toutes les émissions excl. les émisisons pour Enfants et jeunes</t>
  </si>
  <si>
    <t>Contributions maximales :</t>
  </si>
  <si>
    <t>Contribution FMC</t>
  </si>
  <si>
    <t>PCAR</t>
  </si>
  <si>
    <t>Programme des enveloppes des télédiffuseurs</t>
  </si>
  <si>
    <t>Maximum
FMC</t>
  </si>
  <si>
    <t>Contribution maximale
respectée ?</t>
  </si>
  <si>
    <t>Montant excédentaire</t>
  </si>
  <si>
    <t xml:space="preserve">Maximum </t>
  </si>
  <si>
    <t>Contribution maximale respectée ?</t>
  </si>
  <si>
    <t xml:space="preserve">Maximum          </t>
  </si>
  <si>
    <t>*Tous les genres sauf dramatiques et animation*</t>
  </si>
  <si>
    <t>60 %
(max 550 000 $) 
(84% si combiné)</t>
  </si>
  <si>
    <t>*Dramatiques et Animation*</t>
  </si>
  <si>
    <t>60 %
(max 750 000 $) 
(84% si combiné)</t>
  </si>
  <si>
    <t>***</t>
  </si>
  <si>
    <t xml:space="preserve">15 % des dépenses admissibles (max. 225 000 $)
</t>
  </si>
  <si>
    <t>30 % des dépenses admissibles (max. 200 000 $)</t>
  </si>
  <si>
    <r>
      <t>Is this application combined with the Broadcaster Envelope Program</t>
    </r>
    <r>
      <rPr>
        <b/>
        <sz val="10"/>
        <rFont val="Calibri"/>
        <family val="2"/>
        <scheme val="minor"/>
      </rPr>
      <t>?</t>
    </r>
  </si>
  <si>
    <r>
      <t>Broadcaster Envelope</t>
    </r>
    <r>
      <rPr>
        <b/>
        <sz val="10"/>
        <rFont val="Calibri"/>
        <family val="2"/>
        <scheme val="minor"/>
      </rPr>
      <t xml:space="preserve"> Program C</t>
    </r>
    <r>
      <rPr>
        <b/>
        <sz val="10"/>
        <color indexed="8"/>
        <rFont val="Calibri"/>
        <family val="2"/>
        <scheme val="minor"/>
      </rPr>
      <t>ontribution</t>
    </r>
  </si>
  <si>
    <t>PBRC Contribution</t>
  </si>
  <si>
    <r>
      <rPr>
        <b/>
        <sz val="12"/>
        <rFont val="Calibri"/>
        <family val="2"/>
        <scheme val="minor"/>
      </rPr>
      <t xml:space="preserve">2025-2026 - Triggering Commitment Thresholds, Maximum Contribution and Term Calculation Sheet </t>
    </r>
    <r>
      <rPr>
        <b/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Program for Black and Racialized Communities (PBRC)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*voir onglet séparé au bas pour les projets en français</t>
    </r>
  </si>
  <si>
    <t xml:space="preserve">15% of  Eligible Costs (Max $1,000,000) </t>
  </si>
  <si>
    <t xml:space="preserve">30% of  Eligible Costs (Max $200,000) </t>
  </si>
  <si>
    <t>Northen Production Incentive</t>
  </si>
  <si>
    <t>PBRC $</t>
  </si>
  <si>
    <t xml:space="preserve">Télédiffuseur
étranger/
programmé
</t>
  </si>
  <si>
    <r>
      <t xml:space="preserve">Nom du télédiffuseur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color rgb="FF000000"/>
        <rFont val="Calibri"/>
        <family val="2"/>
        <scheme val="minor"/>
      </rPr>
      <t xml:space="preserve">
ou Distributeur canadien admissible
ou Entité Internationale admissible
ou télédiffuseur étranger/programmé</t>
    </r>
  </si>
  <si>
    <r>
      <t>Nom du télédiffuseur</t>
    </r>
    <r>
      <rPr>
        <b/>
        <sz val="10"/>
        <color rgb="FF000000"/>
        <rFont val="Calibri"/>
        <family val="2"/>
        <scheme val="minor"/>
      </rPr>
      <t xml:space="preserve">
ou Distributeur canadien admissible
ou Entité Internationale admissible
ou télédiffuseur étranger/programmé</t>
    </r>
  </si>
  <si>
    <r>
      <rPr>
        <b/>
        <sz val="10"/>
        <color rgb="FF000000"/>
        <rFont val="Calibri"/>
        <family val="2"/>
        <scheme val="minor"/>
      </rPr>
      <t xml:space="preserve">Télédiffuseur
étranger/
programmé </t>
    </r>
    <r>
      <rPr>
        <b/>
        <sz val="10"/>
        <color rgb="FF16365C"/>
        <rFont val="Calibri"/>
        <family val="2"/>
        <scheme val="minor"/>
      </rPr>
      <t xml:space="preserve">(3)
</t>
    </r>
  </si>
  <si>
    <r>
      <t xml:space="preserve">CMF  Contribution  </t>
    </r>
    <r>
      <rPr>
        <b/>
        <sz val="10"/>
        <color rgb="FF1F497D"/>
        <rFont val="Calibri"/>
        <family val="2"/>
        <scheme val="minor"/>
      </rPr>
      <t xml:space="preserve">(BEP only) </t>
    </r>
  </si>
  <si>
    <t xml:space="preserve">Distribution Advance 
(Intl. Rights)
</t>
  </si>
  <si>
    <r>
      <t xml:space="preserve">Exclusivity
(in Months) </t>
    </r>
    <r>
      <rPr>
        <b/>
        <sz val="10"/>
        <color rgb="FF1F497D"/>
        <rFont val="Calibri"/>
        <family val="2"/>
        <scheme val="minor"/>
      </rPr>
      <t xml:space="preserve"> (2)</t>
    </r>
  </si>
  <si>
    <r>
      <t>Broadcaster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Eligible International Entity
Or foreign/scheduled broadcaster</t>
    </r>
  </si>
  <si>
    <t>Maximum  Investment</t>
  </si>
  <si>
    <t>Canadian
Eligible Licence Fee
(ELF)</t>
  </si>
  <si>
    <r>
      <t xml:space="preserve">Distributor </t>
    </r>
    <r>
      <rPr>
        <b/>
        <sz val="10"/>
        <color rgb="FF1F497D"/>
        <rFont val="Calibri"/>
        <family val="2"/>
        <scheme val="minor"/>
      </rPr>
      <t>(3)</t>
    </r>
  </si>
  <si>
    <r>
      <t xml:space="preserve">Intl. Entity
Children &amp; Youth only </t>
    </r>
    <r>
      <rPr>
        <b/>
        <sz val="10"/>
        <color rgb="FF1F497D"/>
        <rFont val="Calibri"/>
        <family val="2"/>
        <scheme val="minor"/>
      </rPr>
      <t>(3)</t>
    </r>
  </si>
  <si>
    <t>ELF &amp; MMC
% of Budget</t>
  </si>
  <si>
    <t>(3): Only the portion required to meet Threshold will appear in the MMC columns (H, I or J)</t>
  </si>
  <si>
    <t>MMC allowable</t>
  </si>
  <si>
    <r>
      <t>Foreign/
scheduled broadcaster</t>
    </r>
    <r>
      <rPr>
        <b/>
        <sz val="10"/>
        <color rgb="FF1F497D"/>
        <rFont val="Calibri"/>
        <family val="2"/>
        <scheme val="minor"/>
      </rPr>
      <t xml:space="preserve"> (3)</t>
    </r>
  </si>
  <si>
    <t>PBRC</t>
  </si>
  <si>
    <t>Devis inférieur à 800 000 $/heure</t>
  </si>
  <si>
    <t>Live-action</t>
  </si>
  <si>
    <t>Lesser of 10% or
$130,000/hour</t>
  </si>
  <si>
    <t>Lesser of 10% or
$100,000/hour</t>
  </si>
  <si>
    <t>All projects</t>
  </si>
  <si>
    <t>Lesser of 10% or 
$315,000/hour</t>
  </si>
  <si>
    <t>Lesser of 10% or
$315,000/hour</t>
  </si>
  <si>
    <t>Lesser of 10% or
$235,000/hour</t>
  </si>
  <si>
    <t>Lesser of 5% or
$230,000/project</t>
  </si>
  <si>
    <t>Lesser of 10% or 
$205,000/1/2-hour</t>
  </si>
  <si>
    <t>Lesser of 10% or
$525,000/hour</t>
  </si>
  <si>
    <t>* ANIMATION *</t>
  </si>
  <si>
    <t>All projects excluding Children and Youth programming</t>
  </si>
  <si>
    <t>Lesser of 5% or
$190,000/project</t>
  </si>
  <si>
    <t>Lesser of 10% or
$90,000/project</t>
  </si>
  <si>
    <t xml:space="preserve">60 %
(max 550 000 $) 
Combined Programs 84% </t>
  </si>
  <si>
    <t xml:space="preserve">60 %
(max 750 000 $) 
Combined Programs 84% </t>
  </si>
  <si>
    <t>Surplus
No-trigger amounts</t>
  </si>
  <si>
    <t>Feature-length
documentary</t>
  </si>
  <si>
    <t>*Drama*</t>
  </si>
  <si>
    <t>*All Projects excluding Drama and Animation*</t>
  </si>
  <si>
    <t>*Animation*</t>
  </si>
  <si>
    <t>Foreign /scheduled broadcaster</t>
  </si>
  <si>
    <r>
      <t>All projects (</t>
    </r>
    <r>
      <rPr>
        <u/>
        <sz val="9"/>
        <rFont val="Calibri"/>
        <family val="2"/>
        <scheme val="minor"/>
      </rPr>
      <t>excluding feature-length documentaries</t>
    </r>
    <r>
      <rPr>
        <sz val="9"/>
        <rFont val="Calibri"/>
        <family val="2"/>
        <scheme val="minor"/>
      </rPr>
      <t>)</t>
    </r>
  </si>
  <si>
    <r>
      <t xml:space="preserve">Canadian
Licence Fee </t>
    </r>
    <r>
      <rPr>
        <b/>
        <sz val="10"/>
        <color rgb="FF1F497D"/>
        <rFont val="Calibri"/>
        <family val="2"/>
      </rPr>
      <t>(1)*</t>
    </r>
  </si>
  <si>
    <t>Distributor</t>
  </si>
  <si>
    <t>International Entity</t>
  </si>
  <si>
    <t>Foreign/ scheduled broadcaster</t>
  </si>
  <si>
    <t>Distributeur</t>
  </si>
  <si>
    <t>Entité Internationale</t>
  </si>
  <si>
    <t>Télédiffuseur étranger/ programmé</t>
  </si>
  <si>
    <r>
      <rPr>
        <b/>
        <sz val="10"/>
        <color rgb="FF000000"/>
        <rFont val="Calibri"/>
        <family val="2"/>
      </rPr>
      <t xml:space="preserve">Droits de diffusion admissibles (canadiens)
</t>
    </r>
    <r>
      <rPr>
        <b/>
        <sz val="10"/>
        <color rgb="FF1F497D"/>
        <rFont val="Calibri"/>
        <family val="2"/>
      </rPr>
      <t>(1)</t>
    </r>
    <r>
      <rPr>
        <b/>
        <sz val="10"/>
        <rFont val="Calibri"/>
        <family val="2"/>
      </rPr>
      <t>*</t>
    </r>
  </si>
  <si>
    <t>*Rappel : pour avoir recours aux enveloppes de l’accès parallèle, il faudra avoir obtenu un droit de diffusion admissible d’au moins 5 000 $ au moment du dépôt de la demande (voir la section 3.2 du Guide des enveloppes des télédiffuseurs)</t>
  </si>
  <si>
    <t>*Reminder: Use of the Alternative Access Allocation requires an accompanying minimum Eligible Licence Fee of $5,000 in the application (see section 3.2 of the Broadcaster Envelope Manual)</t>
  </si>
  <si>
    <t>Lesser of 10% or
$240,000/hour</t>
  </si>
  <si>
    <t>MOW or miniseries $800,000/hour to $1,857,143/hour</t>
  </si>
  <si>
    <t>MOW or miniseries more than $1,857,143/hour</t>
  </si>
  <si>
    <r>
      <t xml:space="preserve">Broadcaster  </t>
    </r>
    <r>
      <rPr>
        <b/>
        <sz val="10"/>
        <color rgb="FF1F497D"/>
        <rFont val="Calibri"/>
        <family val="2"/>
        <scheme val="minor"/>
      </rPr>
      <t>(1)</t>
    </r>
    <r>
      <rPr>
        <b/>
        <sz val="10"/>
        <color rgb="FFFF000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Or Eligible Canadian Distributor
Or Eligible International Entity
Or foreign/scheduled broadcaster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</si>
</sst>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#,##0\ &quot;$&quot;_);\(#,##0\ &quot;$&quot;\)"/>
    <numFmt numFmtId="6" formatCode="#,##0\ &quot;$&quot;_);[Red]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-* #,##0_-;\-* #,##0_-;_-* &quot;-&quot;_-;_-@_-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&quot;$&quot;#,##0.00_);\(&quot;$&quot;#,##0.00\)"/>
    <numFmt numFmtId="168" formatCode="0.0%"/>
    <numFmt numFmtId="169" formatCode="[$-409]d\-mmm\-yyyy;@"/>
    <numFmt numFmtId="170" formatCode="&quot;$&quot;#,##0"/>
    <numFmt numFmtId="171" formatCode="#,##0.0_);\(#,##0.0\)"/>
    <numFmt numFmtId="172" formatCode="[$$-409]#,##0_);\([$$-409]#,##0\)"/>
    <numFmt numFmtId="173" formatCode="[$-40C]d\-mmm\-yyyy;@"/>
    <numFmt numFmtId="174" formatCode="[$$-1009]#,##0;\-[$$-1009]#,##0"/>
    <numFmt numFmtId="175" formatCode="#,##0\ [$$-C0C]_);\(#,##0\ [$$-C0C]\)"/>
    <numFmt numFmtId="176" formatCode="#,##0.00\ [$$-C0C]_);\(#,##0.00\ [$$-C0C]\)"/>
    <numFmt numFmtId="177" formatCode="#,##0\ &quot;$&quot;"/>
    <numFmt numFmtId="178" formatCode="_ * #,##0_)\ [$$-C0C]_ ;_ * \(#,##0\)\ [$$-C0C]_ ;_ * &quot;-&quot;??_)\ [$$-C0C]_ ;_ @_ "/>
    <numFmt numFmtId="179" formatCode="#,##0\ [$$-C0C]"/>
    <numFmt numFmtId="180" formatCode="#,##0\ [$$-C0C]_);[Red]\(#,##0\ [$$-C0C]\)"/>
    <numFmt numFmtId="181" formatCode="_ * #,##0_)\ &quot;$&quot;_ ;_ * \(#,##0\)\ &quot;$&quot;_ ;_ * &quot;-&quot;??_)\ &quot;$&quot;_ ;_ @_ "/>
    <numFmt numFmtId="182" formatCode="yyyy/mm/dd;@"/>
  </numFmts>
  <fonts count="59" x14ac:knownFonts="1">
    <font>
      <sz val="12"/>
      <name val="Arial"/>
    </font>
    <font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color rgb="FF1F497D"/>
      <name val="Calibri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1F497D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16365C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1EB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/>
    </xf>
    <xf numFmtId="9" fontId="9" fillId="3" borderId="5" xfId="3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37" fontId="10" fillId="2" borderId="5" xfId="2" applyNumberFormat="1" applyFont="1" applyFill="1" applyBorder="1" applyAlignment="1" applyProtection="1">
      <alignment horizontal="center" vertical="center" wrapText="1"/>
      <protection locked="0"/>
    </xf>
    <xf numFmtId="171" fontId="10" fillId="3" borderId="5" xfId="2" applyNumberFormat="1" applyFont="1" applyFill="1" applyBorder="1" applyAlignment="1" applyProtection="1">
      <alignment horizontal="center" vertical="center" wrapText="1"/>
    </xf>
    <xf numFmtId="49" fontId="10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9" fillId="12" borderId="5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5" fontId="9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/>
    <xf numFmtId="0" fontId="10" fillId="0" borderId="0" xfId="4" applyFont="1" applyAlignment="1">
      <alignment horizont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10" fillId="0" borderId="4" xfId="4" applyFont="1" applyBorder="1" applyAlignment="1">
      <alignment vertical="center"/>
    </xf>
    <xf numFmtId="0" fontId="13" fillId="0" borderId="5" xfId="4" applyFont="1" applyBorder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13" fillId="0" borderId="3" xfId="4" applyFont="1" applyBorder="1" applyAlignment="1">
      <alignment horizontal="center" vertical="center" wrapText="1"/>
    </xf>
    <xf numFmtId="165" fontId="12" fillId="0" borderId="4" xfId="2" applyFont="1" applyFill="1" applyBorder="1" applyAlignment="1" applyProtection="1">
      <alignment vertical="center" wrapText="1"/>
    </xf>
    <xf numFmtId="165" fontId="12" fillId="6" borderId="4" xfId="2" applyFont="1" applyFill="1" applyBorder="1" applyAlignment="1" applyProtection="1">
      <alignment horizontal="right" vertical="center" wrapText="1"/>
    </xf>
    <xf numFmtId="0" fontId="12" fillId="6" borderId="4" xfId="4" applyFont="1" applyFill="1" applyBorder="1" applyAlignment="1">
      <alignment horizontal="right" vertical="center" wrapText="1"/>
    </xf>
    <xf numFmtId="0" fontId="17" fillId="6" borderId="4" xfId="4" applyFont="1" applyFill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13" fillId="0" borderId="0" xfId="4" applyFont="1" applyAlignment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13" fillId="0" borderId="0" xfId="4" applyFont="1"/>
    <xf numFmtId="0" fontId="13" fillId="0" borderId="4" xfId="4" applyFont="1" applyBorder="1"/>
    <xf numFmtId="0" fontId="13" fillId="6" borderId="4" xfId="4" applyFont="1" applyFill="1" applyBorder="1"/>
    <xf numFmtId="0" fontId="13" fillId="6" borderId="4" xfId="4" applyFont="1" applyFill="1" applyBorder="1" applyAlignment="1">
      <alignment wrapText="1"/>
    </xf>
    <xf numFmtId="0" fontId="13" fillId="0" borderId="0" xfId="4" applyFont="1" applyAlignment="1">
      <alignment vertical="center" wrapText="1"/>
    </xf>
    <xf numFmtId="0" fontId="12" fillId="0" borderId="0" xfId="4" applyFont="1" applyAlignment="1">
      <alignment horizontal="right" vertical="center"/>
    </xf>
    <xf numFmtId="164" fontId="12" fillId="0" borderId="0" xfId="1" applyFont="1" applyFill="1" applyBorder="1" applyAlignment="1" applyProtection="1">
      <alignment vertical="center" wrapText="1"/>
    </xf>
    <xf numFmtId="0" fontId="12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177" fontId="9" fillId="0" borderId="0" xfId="2" applyNumberFormat="1" applyFont="1" applyFill="1" applyBorder="1" applyAlignment="1" applyProtection="1">
      <alignment horizontal="right" vertical="center" wrapText="1"/>
    </xf>
    <xf numFmtId="177" fontId="9" fillId="0" borderId="23" xfId="2" applyNumberFormat="1" applyFont="1" applyFill="1" applyBorder="1" applyAlignment="1" applyProtection="1">
      <alignment horizontal="center" vertical="center" wrapText="1"/>
    </xf>
    <xf numFmtId="0" fontId="12" fillId="2" borderId="5" xfId="4" applyFont="1" applyFill="1" applyBorder="1" applyAlignment="1" applyProtection="1">
      <alignment horizontal="center" vertical="center" wrapText="1"/>
      <protection locked="0"/>
    </xf>
    <xf numFmtId="0" fontId="10" fillId="2" borderId="5" xfId="4" applyFont="1" applyFill="1" applyBorder="1" applyAlignment="1" applyProtection="1">
      <alignment horizontal="center" vertical="center" wrapText="1"/>
      <protection locked="0"/>
    </xf>
    <xf numFmtId="5" fontId="10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9" fillId="10" borderId="12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164" fontId="12" fillId="0" borderId="0" xfId="1" applyFont="1" applyFill="1" applyBorder="1" applyAlignment="1" applyProtection="1">
      <alignment vertical="center" wrapText="1"/>
      <protection locked="0"/>
    </xf>
    <xf numFmtId="0" fontId="10" fillId="0" borderId="0" xfId="4" applyFont="1" applyAlignment="1">
      <alignment horizontal="right" vertical="center" wrapText="1"/>
    </xf>
    <xf numFmtId="0" fontId="12" fillId="0" borderId="0" xfId="4" applyFont="1" applyAlignment="1">
      <alignment horizontal="center" vertical="center" wrapText="1"/>
    </xf>
    <xf numFmtId="0" fontId="9" fillId="0" borderId="0" xfId="4" applyFont="1" applyAlignment="1">
      <alignment horizontal="right" vertical="center"/>
    </xf>
    <xf numFmtId="171" fontId="9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4" applyFont="1" applyProtection="1">
      <protection locked="0"/>
    </xf>
    <xf numFmtId="0" fontId="9" fillId="0" borderId="0" xfId="4" applyFont="1" applyAlignment="1">
      <alignment horizontal="right" vertical="center" wrapText="1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vertical="center" wrapText="1"/>
    </xf>
    <xf numFmtId="165" fontId="14" fillId="0" borderId="0" xfId="2" applyFont="1" applyFill="1" applyBorder="1" applyAlignment="1" applyProtection="1">
      <alignment horizontal="left" vertical="center" wrapText="1"/>
    </xf>
    <xf numFmtId="0" fontId="13" fillId="0" borderId="0" xfId="4" applyFont="1" applyAlignment="1">
      <alignment horizontal="right" vertical="center"/>
    </xf>
    <xf numFmtId="0" fontId="20" fillId="0" borderId="0" xfId="4" applyFont="1" applyAlignment="1">
      <alignment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0" fontId="0" fillId="0" borderId="0" xfId="0" applyAlignment="1">
      <alignment horizontal="center" vertical="center" wrapText="1"/>
    </xf>
    <xf numFmtId="172" fontId="12" fillId="3" borderId="5" xfId="2" applyNumberFormat="1" applyFont="1" applyFill="1" applyBorder="1" applyAlignment="1" applyProtection="1">
      <alignment horizontal="right" vertical="center" shrinkToFit="1"/>
    </xf>
    <xf numFmtId="172" fontId="10" fillId="5" borderId="5" xfId="2" applyNumberFormat="1" applyFont="1" applyFill="1" applyBorder="1" applyAlignment="1" applyProtection="1">
      <alignment horizontal="right" vertical="center" shrinkToFit="1"/>
      <protection locked="0"/>
    </xf>
    <xf numFmtId="179" fontId="9" fillId="15" borderId="16" xfId="2" applyNumberFormat="1" applyFont="1" applyFill="1" applyBorder="1" applyAlignment="1" applyProtection="1">
      <alignment horizontal="right" vertical="center" shrinkToFit="1"/>
    </xf>
    <xf numFmtId="0" fontId="35" fillId="0" borderId="0" xfId="0" applyFont="1" applyAlignment="1">
      <alignment vertical="center"/>
    </xf>
    <xf numFmtId="0" fontId="35" fillId="0" borderId="0" xfId="0" applyFont="1"/>
    <xf numFmtId="0" fontId="12" fillId="0" borderId="0" xfId="4" applyFont="1"/>
    <xf numFmtId="0" fontId="12" fillId="0" borderId="0" xfId="4" applyFont="1" applyAlignment="1">
      <alignment wrapText="1"/>
    </xf>
    <xf numFmtId="0" fontId="9" fillId="0" borderId="5" xfId="4" applyFont="1" applyBorder="1" applyAlignment="1">
      <alignment horizontal="center" vertical="center" wrapText="1"/>
    </xf>
    <xf numFmtId="0" fontId="12" fillId="3" borderId="14" xfId="4" applyFont="1" applyFill="1" applyBorder="1" applyAlignment="1">
      <alignment horizontal="center" vertical="center" wrapText="1"/>
    </xf>
    <xf numFmtId="1" fontId="12" fillId="3" borderId="3" xfId="4" applyNumberFormat="1" applyFont="1" applyFill="1" applyBorder="1" applyAlignment="1">
      <alignment horizontal="center" vertical="center" wrapText="1"/>
    </xf>
    <xf numFmtId="7" fontId="10" fillId="0" borderId="0" xfId="4" applyNumberFormat="1" applyFont="1" applyAlignment="1">
      <alignment horizontal="right" vertical="center" wrapText="1"/>
    </xf>
    <xf numFmtId="180" fontId="10" fillId="5" borderId="5" xfId="2" applyNumberFormat="1" applyFont="1" applyFill="1" applyBorder="1" applyAlignment="1" applyProtection="1">
      <alignment horizontal="center" vertical="center" wrapText="1"/>
      <protection locked="0"/>
    </xf>
    <xf numFmtId="9" fontId="10" fillId="0" borderId="5" xfId="0" applyNumberFormat="1" applyFont="1" applyBorder="1" applyAlignment="1">
      <alignment horizontal="center" vertical="center" wrapText="1"/>
    </xf>
    <xf numFmtId="174" fontId="10" fillId="2" borderId="5" xfId="2" applyNumberFormat="1" applyFont="1" applyFill="1" applyBorder="1" applyAlignment="1" applyProtection="1">
      <alignment horizontal="right" vertical="center" shrinkToFit="1"/>
      <protection locked="0"/>
    </xf>
    <xf numFmtId="5" fontId="10" fillId="16" borderId="5" xfId="2" applyNumberFormat="1" applyFont="1" applyFill="1" applyBorder="1" applyAlignment="1" applyProtection="1">
      <alignment horizontal="center" vertical="center" shrinkToFit="1"/>
    </xf>
    <xf numFmtId="5" fontId="10" fillId="2" borderId="5" xfId="2" applyNumberFormat="1" applyFont="1" applyFill="1" applyBorder="1" applyAlignment="1" applyProtection="1">
      <alignment horizontal="right" vertical="center" shrinkToFit="1"/>
      <protection locked="0"/>
    </xf>
    <xf numFmtId="0" fontId="40" fillId="0" borderId="0" xfId="0" applyFont="1"/>
    <xf numFmtId="0" fontId="37" fillId="0" borderId="0" xfId="0" applyFont="1" applyAlignment="1">
      <alignment vertical="center"/>
    </xf>
    <xf numFmtId="0" fontId="9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vertical="center" wrapText="1"/>
    </xf>
    <xf numFmtId="5" fontId="10" fillId="2" borderId="5" xfId="2" applyNumberFormat="1" applyFont="1" applyFill="1" applyBorder="1" applyAlignment="1" applyProtection="1">
      <alignment vertical="center" shrinkToFit="1"/>
      <protection locked="0"/>
    </xf>
    <xf numFmtId="37" fontId="10" fillId="2" borderId="5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4" applyFont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8" fillId="0" borderId="0" xfId="0" applyFont="1" applyProtection="1">
      <protection locked="0"/>
    </xf>
    <xf numFmtId="0" fontId="42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13" borderId="5" xfId="4" applyFont="1" applyFill="1" applyBorder="1" applyAlignment="1">
      <alignment horizontal="center" vertical="center" wrapText="1"/>
    </xf>
    <xf numFmtId="0" fontId="9" fillId="14" borderId="3" xfId="4" applyFont="1" applyFill="1" applyBorder="1" applyAlignment="1">
      <alignment horizontal="center" vertical="center" wrapText="1"/>
    </xf>
    <xf numFmtId="0" fontId="9" fillId="14" borderId="1" xfId="4" applyFont="1" applyFill="1" applyBorder="1" applyAlignment="1">
      <alignment horizontal="center" vertical="center" wrapText="1"/>
    </xf>
    <xf numFmtId="0" fontId="13" fillId="14" borderId="1" xfId="4" applyFont="1" applyFill="1" applyBorder="1" applyAlignment="1">
      <alignment horizontal="center" vertical="center" wrapText="1"/>
    </xf>
    <xf numFmtId="0" fontId="13" fillId="14" borderId="6" xfId="4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3" fillId="0" borderId="3" xfId="4" applyFont="1" applyBorder="1" applyAlignment="1">
      <alignment horizontal="right" vertical="center" wrapText="1"/>
    </xf>
    <xf numFmtId="0" fontId="13" fillId="0" borderId="1" xfId="4" applyFont="1" applyBorder="1" applyAlignment="1">
      <alignment horizontal="right" vertical="center" wrapText="1"/>
    </xf>
    <xf numFmtId="0" fontId="9" fillId="0" borderId="14" xfId="4" applyFont="1" applyBorder="1" applyAlignment="1">
      <alignment horizontal="center" vertical="center" wrapText="1"/>
    </xf>
    <xf numFmtId="0" fontId="45" fillId="0" borderId="0" xfId="0" applyFont="1" applyAlignment="1">
      <alignment horizontal="right" vertical="center" wrapText="1"/>
    </xf>
    <xf numFmtId="0" fontId="28" fillId="14" borderId="0" xfId="0" applyFont="1" applyFill="1" applyAlignment="1" applyProtection="1">
      <alignment vertical="center"/>
      <protection hidden="1"/>
    </xf>
    <xf numFmtId="0" fontId="26" fillId="14" borderId="0" xfId="0" applyFont="1" applyFill="1" applyAlignment="1" applyProtection="1">
      <alignment vertical="center"/>
      <protection hidden="1"/>
    </xf>
    <xf numFmtId="0" fontId="32" fillId="14" borderId="18" xfId="0" applyFont="1" applyFill="1" applyBorder="1" applyAlignment="1" applyProtection="1">
      <alignment horizontal="left" vertical="center" wrapText="1"/>
      <protection hidden="1"/>
    </xf>
    <xf numFmtId="0" fontId="26" fillId="14" borderId="4" xfId="0" applyFont="1" applyFill="1" applyBorder="1" applyAlignment="1" applyProtection="1">
      <alignment vertical="center"/>
      <protection hidden="1"/>
    </xf>
    <xf numFmtId="0" fontId="28" fillId="0" borderId="4" xfId="0" applyFont="1" applyBorder="1" applyAlignment="1" applyProtection="1">
      <alignment vertical="center"/>
      <protection hidden="1"/>
    </xf>
    <xf numFmtId="0" fontId="28" fillId="14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left" vertical="top" wrapText="1"/>
    </xf>
    <xf numFmtId="0" fontId="9" fillId="0" borderId="9" xfId="4" applyFont="1" applyBorder="1" applyAlignment="1">
      <alignment horizontal="center" vertical="center" shrinkToFit="1"/>
    </xf>
    <xf numFmtId="182" fontId="12" fillId="3" borderId="9" xfId="4" applyNumberFormat="1" applyFont="1" applyFill="1" applyBorder="1" applyAlignment="1">
      <alignment horizontal="center" vertical="center" shrinkToFit="1"/>
    </xf>
    <xf numFmtId="182" fontId="12" fillId="3" borderId="5" xfId="4" applyNumberFormat="1" applyFont="1" applyFill="1" applyBorder="1" applyAlignment="1">
      <alignment horizontal="center" vertical="center" shrinkToFit="1"/>
    </xf>
    <xf numFmtId="0" fontId="31" fillId="0" borderId="0" xfId="0" applyFont="1"/>
    <xf numFmtId="0" fontId="31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7" fillId="0" borderId="0" xfId="0" applyFont="1"/>
    <xf numFmtId="171" fontId="10" fillId="3" borderId="5" xfId="2" applyNumberFormat="1" applyFont="1" applyFill="1" applyBorder="1" applyAlignment="1" applyProtection="1">
      <alignment horizontal="center" vertical="center" shrinkToFit="1"/>
    </xf>
    <xf numFmtId="178" fontId="10" fillId="3" borderId="5" xfId="5" applyNumberFormat="1" applyFont="1" applyFill="1" applyBorder="1" applyAlignment="1" applyProtection="1">
      <alignment horizontal="center" vertical="center" shrinkToFit="1"/>
    </xf>
    <xf numFmtId="5" fontId="12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28" fillId="9" borderId="0" xfId="0" applyFont="1" applyFill="1" applyAlignment="1" applyProtection="1">
      <alignment horizontal="center" vertical="center"/>
      <protection locked="0" hidden="1"/>
    </xf>
    <xf numFmtId="5" fontId="10" fillId="9" borderId="0" xfId="4" applyNumberFormat="1" applyFont="1" applyFill="1" applyAlignment="1" applyProtection="1">
      <alignment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171" fontId="10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173" fontId="10" fillId="3" borderId="5" xfId="4" applyNumberFormat="1" applyFont="1" applyFill="1" applyBorder="1" applyAlignment="1" applyProtection="1">
      <alignment horizontal="center" vertical="center" shrinkToFit="1"/>
      <protection hidden="1"/>
    </xf>
    <xf numFmtId="0" fontId="13" fillId="0" borderId="9" xfId="4" applyFont="1" applyBorder="1" applyAlignment="1" applyProtection="1">
      <alignment horizontal="center" vertical="center" wrapText="1"/>
      <protection hidden="1"/>
    </xf>
    <xf numFmtId="0" fontId="9" fillId="10" borderId="5" xfId="4" applyFont="1" applyFill="1" applyBorder="1" applyAlignment="1" applyProtection="1">
      <alignment horizontal="center" vertical="center" wrapText="1"/>
      <protection hidden="1"/>
    </xf>
    <xf numFmtId="0" fontId="9" fillId="13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3" fillId="0" borderId="14" xfId="4" applyFont="1" applyBorder="1" applyAlignment="1" applyProtection="1">
      <alignment horizontal="center" vertical="center" wrapText="1"/>
      <protection hidden="1"/>
    </xf>
    <xf numFmtId="49" fontId="13" fillId="16" borderId="9" xfId="4" applyNumberFormat="1" applyFont="1" applyFill="1" applyBorder="1" applyAlignment="1" applyProtection="1">
      <alignment horizontal="center" vertical="center" shrinkToFit="1"/>
      <protection hidden="1"/>
    </xf>
    <xf numFmtId="181" fontId="12" fillId="3" borderId="20" xfId="5" applyNumberFormat="1" applyFont="1" applyFill="1" applyBorder="1" applyAlignment="1" applyProtection="1">
      <alignment horizontal="center" vertical="center" wrapText="1"/>
      <protection hidden="1"/>
    </xf>
    <xf numFmtId="175" fontId="10" fillId="16" borderId="3" xfId="2" applyNumberFormat="1" applyFont="1" applyFill="1" applyBorder="1" applyAlignment="1" applyProtection="1">
      <alignment horizontal="center" vertical="center" shrinkToFit="1"/>
      <protection hidden="1"/>
    </xf>
    <xf numFmtId="10" fontId="10" fillId="16" borderId="1" xfId="3" applyNumberFormat="1" applyFont="1" applyFill="1" applyBorder="1" applyAlignment="1" applyProtection="1">
      <alignment horizontal="center" vertical="center" shrinkToFit="1"/>
      <protection hidden="1"/>
    </xf>
    <xf numFmtId="175" fontId="12" fillId="16" borderId="1" xfId="2" applyNumberFormat="1" applyFont="1" applyFill="1" applyBorder="1" applyAlignment="1" applyProtection="1">
      <alignment horizontal="center" vertical="center" shrinkToFit="1"/>
      <protection hidden="1"/>
    </xf>
    <xf numFmtId="175" fontId="10" fillId="16" borderId="6" xfId="2" applyNumberFormat="1" applyFont="1" applyFill="1" applyBorder="1" applyAlignment="1" applyProtection="1">
      <alignment horizontal="center" vertical="center" shrinkToFit="1"/>
      <protection hidden="1"/>
    </xf>
    <xf numFmtId="0" fontId="13" fillId="0" borderId="14" xfId="4" applyFont="1" applyBorder="1" applyAlignment="1" applyProtection="1">
      <alignment horizontal="center" vertical="center" shrinkToFit="1"/>
      <protection hidden="1"/>
    </xf>
    <xf numFmtId="49" fontId="12" fillId="16" borderId="9" xfId="4" applyNumberFormat="1" applyFont="1" applyFill="1" applyBorder="1" applyAlignment="1" applyProtection="1">
      <alignment horizontal="center" vertical="center" shrinkToFit="1"/>
      <protection hidden="1"/>
    </xf>
    <xf numFmtId="175" fontId="10" fillId="16" borderId="9" xfId="2" applyNumberFormat="1" applyFont="1" applyFill="1" applyBorder="1" applyAlignment="1" applyProtection="1">
      <alignment horizontal="center" vertical="center" shrinkToFit="1"/>
      <protection hidden="1"/>
    </xf>
    <xf numFmtId="10" fontId="10" fillId="16" borderId="9" xfId="3" applyNumberFormat="1" applyFont="1" applyFill="1" applyBorder="1" applyAlignment="1" applyProtection="1">
      <alignment horizontal="center" vertical="center" shrinkToFit="1"/>
      <protection hidden="1"/>
    </xf>
    <xf numFmtId="175" fontId="12" fillId="16" borderId="10" xfId="2" applyNumberFormat="1" applyFont="1" applyFill="1" applyBorder="1" applyAlignment="1" applyProtection="1">
      <alignment horizontal="center" vertical="center" shrinkToFit="1"/>
      <protection hidden="1"/>
    </xf>
    <xf numFmtId="0" fontId="13" fillId="0" borderId="3" xfId="4" applyFont="1" applyBorder="1" applyAlignment="1" applyProtection="1">
      <alignment horizontal="center" vertical="center" shrinkToFit="1"/>
      <protection hidden="1"/>
    </xf>
    <xf numFmtId="49" fontId="12" fillId="16" borderId="12" xfId="4" applyNumberFormat="1" applyFont="1" applyFill="1" applyBorder="1" applyAlignment="1" applyProtection="1">
      <alignment horizontal="center" vertical="center" shrinkToFit="1"/>
      <protection hidden="1"/>
    </xf>
    <xf numFmtId="175" fontId="10" fillId="16" borderId="5" xfId="2" applyNumberFormat="1" applyFont="1" applyFill="1" applyBorder="1" applyAlignment="1" applyProtection="1">
      <alignment horizontal="center" vertical="center" shrinkToFit="1"/>
      <protection hidden="1"/>
    </xf>
    <xf numFmtId="49" fontId="12" fillId="16" borderId="5" xfId="4" applyNumberFormat="1" applyFont="1" applyFill="1" applyBorder="1" applyAlignment="1" applyProtection="1">
      <alignment horizontal="center" vertical="center" shrinkToFit="1"/>
      <protection hidden="1"/>
    </xf>
    <xf numFmtId="0" fontId="13" fillId="0" borderId="17" xfId="4" applyFont="1" applyBorder="1" applyAlignment="1" applyProtection="1">
      <alignment horizontal="center" vertical="center" shrinkToFit="1"/>
      <protection hidden="1"/>
    </xf>
    <xf numFmtId="0" fontId="13" fillId="0" borderId="5" xfId="4" applyFont="1" applyBorder="1" applyAlignment="1" applyProtection="1">
      <alignment horizontal="center" vertical="center" shrinkToFit="1"/>
      <protection hidden="1"/>
    </xf>
    <xf numFmtId="49" fontId="10" fillId="16" borderId="5" xfId="4" applyNumberFormat="1" applyFont="1" applyFill="1" applyBorder="1" applyAlignment="1" applyProtection="1">
      <alignment horizontal="center" vertical="center" shrinkToFit="1"/>
      <protection hidden="1"/>
    </xf>
    <xf numFmtId="181" fontId="12" fillId="3" borderId="7" xfId="5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4" applyFont="1" applyAlignment="1" applyProtection="1">
      <alignment horizontal="center" vertical="center" shrinkToFit="1"/>
      <protection hidden="1"/>
    </xf>
    <xf numFmtId="177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81" fontId="13" fillId="4" borderId="16" xfId="5" applyNumberFormat="1" applyFont="1" applyFill="1" applyBorder="1" applyAlignment="1" applyProtection="1">
      <alignment horizontal="center" vertical="center" wrapText="1"/>
      <protection hidden="1"/>
    </xf>
    <xf numFmtId="5" fontId="13" fillId="4" borderId="8" xfId="3" applyNumberFormat="1" applyFont="1" applyFill="1" applyBorder="1" applyAlignment="1" applyProtection="1">
      <alignment horizontal="center" vertical="center" wrapText="1"/>
      <protection hidden="1"/>
    </xf>
    <xf numFmtId="181" fontId="13" fillId="3" borderId="10" xfId="5" applyNumberFormat="1" applyFont="1" applyFill="1" applyBorder="1" applyAlignment="1" applyProtection="1">
      <alignment horizontal="center" vertical="center" wrapText="1"/>
      <protection hidden="1"/>
    </xf>
    <xf numFmtId="168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176" fontId="28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right"/>
      <protection hidden="1"/>
    </xf>
    <xf numFmtId="10" fontId="14" fillId="0" borderId="0" xfId="3" applyNumberFormat="1" applyFont="1" applyFill="1" applyBorder="1" applyAlignment="1" applyProtection="1">
      <alignment horizontal="left" shrinkToFit="1"/>
      <protection hidden="1"/>
    </xf>
    <xf numFmtId="0" fontId="39" fillId="0" borderId="0" xfId="4" applyFont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horizontal="center" vertical="center"/>
      <protection hidden="1"/>
    </xf>
    <xf numFmtId="0" fontId="28" fillId="0" borderId="0" xfId="4" applyFont="1" applyAlignment="1" applyProtection="1">
      <alignment vertical="center"/>
      <protection hidden="1"/>
    </xf>
    <xf numFmtId="10" fontId="9" fillId="0" borderId="0" xfId="3" applyNumberFormat="1" applyFont="1" applyFill="1" applyBorder="1" applyAlignment="1" applyProtection="1">
      <alignment horizontal="left" shrinkToFit="1"/>
      <protection hidden="1"/>
    </xf>
    <xf numFmtId="0" fontId="27" fillId="0" borderId="0" xfId="4" applyFont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175" fontId="12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173" fontId="9" fillId="4" borderId="5" xfId="0" applyNumberFormat="1" applyFont="1" applyFill="1" applyBorder="1" applyAlignment="1" applyProtection="1">
      <alignment horizontal="center" vertical="center"/>
      <protection hidden="1"/>
    </xf>
    <xf numFmtId="0" fontId="10" fillId="0" borderId="0" xfId="4" applyFont="1" applyAlignment="1" applyProtection="1">
      <alignment vertical="center" shrinkToFit="1"/>
      <protection hidden="1"/>
    </xf>
    <xf numFmtId="0" fontId="12" fillId="0" borderId="0" xfId="4" applyFont="1" applyAlignment="1" applyProtection="1">
      <alignment vertical="center" shrinkToFit="1"/>
      <protection hidden="1"/>
    </xf>
    <xf numFmtId="170" fontId="9" fillId="0" borderId="2" xfId="0" applyNumberFormat="1" applyFont="1" applyBorder="1" applyAlignment="1" applyProtection="1">
      <alignment horizontal="center" vertical="center" wrapText="1"/>
      <protection hidden="1"/>
    </xf>
    <xf numFmtId="167" fontId="10" fillId="0" borderId="0" xfId="0" applyNumberFormat="1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2" fillId="0" borderId="0" xfId="4" applyFont="1" applyAlignment="1" applyProtection="1">
      <alignment vertical="center"/>
      <protection hidden="1"/>
    </xf>
    <xf numFmtId="1" fontId="10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167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0" fillId="0" borderId="0" xfId="4" applyFont="1" applyAlignment="1" applyProtection="1">
      <alignment horizontal="center" vertical="center" wrapText="1"/>
      <protection hidden="1"/>
    </xf>
    <xf numFmtId="167" fontId="10" fillId="0" borderId="0" xfId="4" applyNumberFormat="1" applyFont="1" applyAlignment="1" applyProtection="1">
      <alignment horizontal="center" vertical="center" wrapText="1"/>
      <protection hidden="1"/>
    </xf>
    <xf numFmtId="0" fontId="9" fillId="0" borderId="0" xfId="4" applyFont="1" applyAlignment="1" applyProtection="1">
      <alignment horizontal="center" vertical="center" wrapText="1"/>
      <protection hidden="1"/>
    </xf>
    <xf numFmtId="0" fontId="10" fillId="0" borderId="0" xfId="4" applyFont="1" applyAlignment="1" applyProtection="1">
      <alignment horizontal="center" vertical="center"/>
      <protection hidden="1"/>
    </xf>
    <xf numFmtId="0" fontId="17" fillId="6" borderId="0" xfId="4" applyFont="1" applyFill="1" applyAlignment="1" applyProtection="1">
      <alignment vertical="center"/>
      <protection hidden="1"/>
    </xf>
    <xf numFmtId="0" fontId="12" fillId="6" borderId="0" xfId="4" applyFont="1" applyFill="1" applyAlignment="1" applyProtection="1">
      <alignment horizontal="center" vertical="center" wrapText="1"/>
      <protection hidden="1"/>
    </xf>
    <xf numFmtId="0" fontId="12" fillId="6" borderId="0" xfId="4" applyFont="1" applyFill="1" applyAlignment="1" applyProtection="1">
      <alignment horizontal="right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10" borderId="5" xfId="0" applyFont="1" applyFill="1" applyBorder="1" applyAlignment="1" applyProtection="1">
      <alignment horizontal="center" vertical="center" wrapText="1"/>
      <protection hidden="1"/>
    </xf>
    <xf numFmtId="0" fontId="13" fillId="14" borderId="2" xfId="0" applyFont="1" applyFill="1" applyBorder="1" applyAlignment="1" applyProtection="1">
      <alignment vertical="center"/>
      <protection hidden="1"/>
    </xf>
    <xf numFmtId="0" fontId="31" fillId="14" borderId="0" xfId="0" applyFont="1" applyFill="1" applyAlignment="1" applyProtection="1">
      <alignment vertical="center"/>
      <protection hidden="1"/>
    </xf>
    <xf numFmtId="0" fontId="27" fillId="14" borderId="0" xfId="0" applyFont="1" applyFill="1" applyAlignment="1" applyProtection="1">
      <alignment horizontal="center" vertical="center"/>
      <protection hidden="1"/>
    </xf>
    <xf numFmtId="0" fontId="31" fillId="14" borderId="0" xfId="0" applyFont="1" applyFill="1" applyAlignment="1" applyProtection="1">
      <alignment horizontal="center" vertical="center"/>
      <protection hidden="1"/>
    </xf>
    <xf numFmtId="0" fontId="27" fillId="14" borderId="0" xfId="0" applyFont="1" applyFill="1" applyAlignment="1" applyProtection="1">
      <alignment vertical="center"/>
      <protection hidden="1"/>
    </xf>
    <xf numFmtId="0" fontId="12" fillId="0" borderId="5" xfId="4" applyFont="1" applyBorder="1" applyAlignment="1" applyProtection="1">
      <alignment horizontal="center" vertical="center" wrapText="1"/>
      <protection hidden="1"/>
    </xf>
    <xf numFmtId="9" fontId="10" fillId="0" borderId="5" xfId="3" applyFont="1" applyBorder="1" applyAlignment="1" applyProtection="1">
      <alignment horizontal="center" vertical="center" wrapText="1"/>
      <protection hidden="1"/>
    </xf>
    <xf numFmtId="179" fontId="10" fillId="3" borderId="5" xfId="2" applyNumberFormat="1" applyFont="1" applyFill="1" applyBorder="1" applyAlignment="1" applyProtection="1">
      <alignment horizontal="center" vertical="center" shrinkToFit="1"/>
      <protection hidden="1"/>
    </xf>
    <xf numFmtId="165" fontId="10" fillId="3" borderId="3" xfId="2" applyFont="1" applyFill="1" applyBorder="1" applyAlignment="1" applyProtection="1">
      <alignment horizontal="right" vertical="center" shrinkToFit="1"/>
      <protection hidden="1"/>
    </xf>
    <xf numFmtId="165" fontId="10" fillId="3" borderId="6" xfId="2" applyFont="1" applyFill="1" applyBorder="1" applyAlignment="1" applyProtection="1">
      <alignment horizontal="center" vertical="center" shrinkToFit="1"/>
      <protection hidden="1"/>
    </xf>
    <xf numFmtId="175" fontId="12" fillId="3" borderId="5" xfId="2" applyNumberFormat="1" applyFont="1" applyFill="1" applyBorder="1" applyAlignment="1" applyProtection="1">
      <alignment horizontal="center" vertical="center" shrinkToFit="1"/>
      <protection hidden="1"/>
    </xf>
    <xf numFmtId="175" fontId="12" fillId="17" borderId="5" xfId="2" applyNumberFormat="1" applyFont="1" applyFill="1" applyBorder="1" applyAlignment="1" applyProtection="1">
      <alignment horizontal="center" vertical="center" shrinkToFit="1"/>
      <protection hidden="1"/>
    </xf>
    <xf numFmtId="0" fontId="24" fillId="0" borderId="5" xfId="4" applyFont="1" applyBorder="1" applyAlignment="1" applyProtection="1">
      <alignment horizontal="center" vertical="center" wrapText="1"/>
      <protection hidden="1"/>
    </xf>
    <xf numFmtId="0" fontId="31" fillId="14" borderId="0" xfId="0" applyFont="1" applyFill="1" applyAlignment="1" applyProtection="1">
      <alignment horizontal="right" vertical="center"/>
      <protection hidden="1"/>
    </xf>
    <xf numFmtId="0" fontId="31" fillId="14" borderId="7" xfId="0" applyFont="1" applyFill="1" applyBorder="1" applyAlignment="1" applyProtection="1">
      <alignment horizontal="center" vertical="center"/>
      <protection hidden="1"/>
    </xf>
    <xf numFmtId="9" fontId="12" fillId="0" borderId="5" xfId="3" applyFont="1" applyBorder="1" applyAlignment="1" applyProtection="1">
      <alignment horizontal="center" vertical="center" wrapText="1"/>
      <protection hidden="1"/>
    </xf>
    <xf numFmtId="179" fontId="12" fillId="3" borderId="5" xfId="2" applyNumberFormat="1" applyFont="1" applyFill="1" applyBorder="1" applyAlignment="1" applyProtection="1">
      <alignment horizontal="center" vertical="center" shrinkToFit="1"/>
      <protection hidden="1"/>
    </xf>
    <xf numFmtId="175" fontId="10" fillId="3" borderId="5" xfId="2" applyNumberFormat="1" applyFont="1" applyFill="1" applyBorder="1" applyAlignment="1" applyProtection="1">
      <alignment horizontal="center" vertical="center" shrinkToFit="1"/>
      <protection hidden="1"/>
    </xf>
    <xf numFmtId="175" fontId="12" fillId="0" borderId="5" xfId="4" applyNumberFormat="1" applyFont="1" applyBorder="1" applyAlignment="1" applyProtection="1">
      <alignment horizontal="center" vertical="center" wrapText="1"/>
      <protection hidden="1"/>
    </xf>
    <xf numFmtId="0" fontId="13" fillId="14" borderId="2" xfId="0" applyFont="1" applyFill="1" applyBorder="1" applyAlignment="1" applyProtection="1">
      <alignment horizontal="left" vertical="center"/>
      <protection hidden="1"/>
    </xf>
    <xf numFmtId="0" fontId="13" fillId="14" borderId="0" xfId="0" applyFont="1" applyFill="1" applyAlignment="1" applyProtection="1">
      <alignment vertical="center"/>
      <protection hidden="1"/>
    </xf>
    <xf numFmtId="0" fontId="27" fillId="14" borderId="0" xfId="0" applyFont="1" applyFill="1" applyAlignment="1" applyProtection="1">
      <alignment horizontal="right" vertical="center"/>
      <protection hidden="1"/>
    </xf>
    <xf numFmtId="0" fontId="27" fillId="14" borderId="7" xfId="0" applyFont="1" applyFill="1" applyBorder="1" applyAlignment="1" applyProtection="1">
      <alignment vertical="center"/>
      <protection hidden="1"/>
    </xf>
    <xf numFmtId="0" fontId="12" fillId="14" borderId="18" xfId="4" applyFont="1" applyFill="1" applyBorder="1" applyAlignment="1" applyProtection="1">
      <alignment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9" fillId="18" borderId="5" xfId="0" applyFont="1" applyFill="1" applyBorder="1" applyAlignment="1" applyProtection="1">
      <alignment horizontal="center" vertical="center" wrapText="1"/>
      <protection hidden="1"/>
    </xf>
    <xf numFmtId="0" fontId="9" fillId="10" borderId="6" xfId="0" applyFont="1" applyFill="1" applyBorder="1" applyAlignment="1" applyProtection="1">
      <alignment horizontal="center" vertical="center" wrapText="1"/>
      <protection hidden="1"/>
    </xf>
    <xf numFmtId="0" fontId="13" fillId="11" borderId="5" xfId="0" applyFont="1" applyFill="1" applyBorder="1" applyAlignment="1" applyProtection="1">
      <alignment horizontal="center" vertical="center" wrapText="1"/>
      <protection hidden="1"/>
    </xf>
    <xf numFmtId="0" fontId="9" fillId="11" borderId="6" xfId="0" applyFont="1" applyFill="1" applyBorder="1" applyAlignment="1" applyProtection="1">
      <alignment horizontal="center" vertical="center" wrapText="1"/>
      <protection hidden="1"/>
    </xf>
    <xf numFmtId="0" fontId="9" fillId="8" borderId="6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19" borderId="1" xfId="0" applyFont="1" applyFill="1" applyBorder="1" applyAlignment="1" applyProtection="1">
      <alignment vertical="center"/>
      <protection hidden="1"/>
    </xf>
    <xf numFmtId="0" fontId="13" fillId="19" borderId="0" xfId="0" applyFont="1" applyFill="1" applyAlignment="1" applyProtection="1">
      <alignment vertical="center"/>
      <protection hidden="1"/>
    </xf>
    <xf numFmtId="0" fontId="9" fillId="19" borderId="0" xfId="0" applyFont="1" applyFill="1" applyAlignment="1" applyProtection="1">
      <alignment vertical="center"/>
      <protection hidden="1"/>
    </xf>
    <xf numFmtId="0" fontId="9" fillId="19" borderId="7" xfId="0" applyFont="1" applyFill="1" applyBorder="1" applyAlignment="1" applyProtection="1">
      <alignment vertical="center"/>
      <protection hidden="1"/>
    </xf>
    <xf numFmtId="175" fontId="27" fillId="0" borderId="9" xfId="0" applyNumberFormat="1" applyFont="1" applyBorder="1" applyAlignment="1" applyProtection="1">
      <alignment horizontal="center" vertical="center" wrapText="1"/>
      <protection hidden="1"/>
    </xf>
    <xf numFmtId="176" fontId="12" fillId="3" borderId="9" xfId="2" applyNumberFormat="1" applyFont="1" applyFill="1" applyBorder="1" applyAlignment="1" applyProtection="1">
      <alignment horizontal="center" vertical="center"/>
      <protection hidden="1"/>
    </xf>
    <xf numFmtId="175" fontId="12" fillId="3" borderId="5" xfId="2" applyNumberFormat="1" applyFont="1" applyFill="1" applyBorder="1" applyAlignment="1" applyProtection="1">
      <alignment horizontal="center" vertical="center"/>
      <protection hidden="1"/>
    </xf>
    <xf numFmtId="176" fontId="12" fillId="3" borderId="9" xfId="2" applyNumberFormat="1" applyFont="1" applyFill="1" applyBorder="1" applyAlignment="1" applyProtection="1">
      <alignment horizontal="center" vertical="center" wrapText="1"/>
      <protection hidden="1"/>
    </xf>
    <xf numFmtId="175" fontId="12" fillId="3" borderId="9" xfId="2" applyNumberFormat="1" applyFont="1" applyFill="1" applyBorder="1" applyAlignment="1" applyProtection="1">
      <alignment horizontal="center" vertical="center" wrapText="1"/>
      <protection hidden="1"/>
    </xf>
    <xf numFmtId="175" fontId="12" fillId="3" borderId="9" xfId="2" applyNumberFormat="1" applyFont="1" applyFill="1" applyBorder="1" applyAlignment="1" applyProtection="1">
      <alignment horizontal="center" vertical="center"/>
      <protection hidden="1"/>
    </xf>
    <xf numFmtId="175" fontId="10" fillId="3" borderId="5" xfId="2" applyNumberFormat="1" applyFont="1" applyFill="1" applyBorder="1" applyAlignment="1" applyProtection="1">
      <alignment horizontal="center" vertical="center"/>
      <protection hidden="1"/>
    </xf>
    <xf numFmtId="175" fontId="10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9" fillId="19" borderId="3" xfId="0" applyFont="1" applyFill="1" applyBorder="1" applyAlignment="1" applyProtection="1">
      <alignment vertical="center"/>
      <protection hidden="1"/>
    </xf>
    <xf numFmtId="0" fontId="9" fillId="19" borderId="6" xfId="0" applyFont="1" applyFill="1" applyBorder="1" applyAlignment="1" applyProtection="1">
      <alignment vertical="center"/>
      <protection hidden="1"/>
    </xf>
    <xf numFmtId="175" fontId="27" fillId="0" borderId="5" xfId="0" applyNumberFormat="1" applyFont="1" applyBorder="1" applyAlignment="1" applyProtection="1">
      <alignment horizontal="center" vertical="center" wrapText="1"/>
      <protection hidden="1"/>
    </xf>
    <xf numFmtId="175" fontId="10" fillId="3" borderId="9" xfId="2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10" fillId="0" borderId="0" xfId="4" applyFont="1" applyProtection="1">
      <protection hidden="1"/>
    </xf>
    <xf numFmtId="0" fontId="10" fillId="0" borderId="0" xfId="4" applyFont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12" fillId="3" borderId="9" xfId="3" applyNumberFormat="1" applyFont="1" applyFill="1" applyBorder="1" applyAlignment="1" applyProtection="1">
      <alignment horizontal="center" vertical="center" wrapText="1"/>
      <protection hidden="1"/>
    </xf>
    <xf numFmtId="10" fontId="12" fillId="3" borderId="10" xfId="3" applyNumberFormat="1" applyFont="1" applyFill="1" applyBorder="1" applyAlignment="1" applyProtection="1">
      <alignment horizontal="center" vertical="center" wrapText="1"/>
      <protection hidden="1"/>
    </xf>
    <xf numFmtId="10" fontId="13" fillId="4" borderId="16" xfId="3" applyNumberFormat="1" applyFont="1" applyFill="1" applyBorder="1" applyAlignment="1" applyProtection="1">
      <alignment horizontal="center" vertical="center" wrapText="1"/>
      <protection hidden="1"/>
    </xf>
    <xf numFmtId="10" fontId="13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49" fillId="0" borderId="5" xfId="4" applyFont="1" applyBorder="1" applyAlignment="1">
      <alignment horizontal="center" vertical="center" wrapText="1"/>
    </xf>
    <xf numFmtId="0" fontId="50" fillId="13" borderId="5" xfId="4" applyFont="1" applyFill="1" applyBorder="1" applyAlignment="1">
      <alignment horizontal="center" vertical="center" wrapText="1"/>
    </xf>
    <xf numFmtId="0" fontId="50" fillId="13" borderId="27" xfId="0" applyFont="1" applyFill="1" applyBorder="1" applyAlignment="1" applyProtection="1">
      <alignment horizontal="center" vertical="center" wrapText="1"/>
      <protection hidden="1"/>
    </xf>
    <xf numFmtId="0" fontId="50" fillId="13" borderId="28" xfId="0" applyFont="1" applyFill="1" applyBorder="1" applyAlignment="1" applyProtection="1">
      <alignment horizontal="center" vertical="center" wrapText="1"/>
      <protection hidden="1"/>
    </xf>
    <xf numFmtId="0" fontId="9" fillId="13" borderId="2" xfId="4" applyFont="1" applyFill="1" applyBorder="1" applyAlignment="1" applyProtection="1">
      <alignment horizontal="center" vertical="center" wrapText="1"/>
      <protection hidden="1"/>
    </xf>
    <xf numFmtId="0" fontId="9" fillId="13" borderId="7" xfId="4" applyFont="1" applyFill="1" applyBorder="1" applyAlignment="1" applyProtection="1">
      <alignment horizontal="center" vertical="center" wrapText="1"/>
      <protection hidden="1"/>
    </xf>
    <xf numFmtId="175" fontId="10" fillId="16" borderId="4" xfId="2" applyNumberFormat="1" applyFont="1" applyFill="1" applyBorder="1" applyAlignment="1" applyProtection="1">
      <alignment horizontal="center" vertical="center" shrinkToFit="1"/>
      <protection hidden="1"/>
    </xf>
    <xf numFmtId="0" fontId="33" fillId="0" borderId="0" xfId="2" applyNumberFormat="1" applyFont="1" applyFill="1" applyAlignment="1" applyProtection="1">
      <alignment horizontal="left" vertical="center" wrapText="1"/>
      <protection hidden="1"/>
    </xf>
    <xf numFmtId="0" fontId="13" fillId="17" borderId="32" xfId="0" applyFont="1" applyFill="1" applyBorder="1" applyAlignment="1" applyProtection="1">
      <alignment horizontal="center" vertical="center" wrapText="1"/>
      <protection hidden="1"/>
    </xf>
    <xf numFmtId="0" fontId="9" fillId="10" borderId="3" xfId="0" applyFont="1" applyFill="1" applyBorder="1" applyAlignment="1" applyProtection="1">
      <alignment horizontal="center" vertical="center" wrapText="1"/>
      <protection hidden="1"/>
    </xf>
    <xf numFmtId="5" fontId="15" fillId="3" borderId="3" xfId="0" applyNumberFormat="1" applyFont="1" applyFill="1" applyBorder="1" applyAlignment="1">
      <alignment horizontal="right" vertical="center" wrapText="1"/>
    </xf>
    <xf numFmtId="0" fontId="28" fillId="9" borderId="2" xfId="0" applyFont="1" applyFill="1" applyBorder="1" applyAlignment="1" applyProtection="1">
      <alignment horizontal="center" vertical="center"/>
      <protection locked="0"/>
    </xf>
    <xf numFmtId="0" fontId="12" fillId="9" borderId="0" xfId="4" applyFont="1" applyFill="1" applyAlignment="1" applyProtection="1">
      <alignment vertical="center"/>
      <protection hidden="1"/>
    </xf>
    <xf numFmtId="0" fontId="55" fillId="9" borderId="0" xfId="0" applyFont="1" applyFill="1" applyAlignment="1" applyProtection="1">
      <alignment horizontal="right" vertical="center" wrapText="1"/>
      <protection locked="0"/>
    </xf>
    <xf numFmtId="0" fontId="10" fillId="9" borderId="0" xfId="4" applyFont="1" applyFill="1" applyAlignment="1" applyProtection="1">
      <alignment vertical="center"/>
      <protection hidden="1"/>
    </xf>
    <xf numFmtId="0" fontId="28" fillId="9" borderId="0" xfId="0" applyFont="1" applyFill="1" applyAlignment="1" applyProtection="1">
      <alignment vertical="center"/>
      <protection hidden="1"/>
    </xf>
    <xf numFmtId="0" fontId="56" fillId="9" borderId="0" xfId="0" applyFont="1" applyFill="1" applyAlignment="1" applyProtection="1">
      <alignment vertical="center" wrapText="1"/>
      <protection hidden="1"/>
    </xf>
    <xf numFmtId="0" fontId="56" fillId="9" borderId="0" xfId="4" applyFont="1" applyFill="1" applyAlignment="1" applyProtection="1">
      <alignment vertical="center"/>
      <protection hidden="1"/>
    </xf>
    <xf numFmtId="172" fontId="10" fillId="3" borderId="5" xfId="2" applyNumberFormat="1" applyFont="1" applyFill="1" applyBorder="1" applyAlignment="1" applyProtection="1">
      <alignment horizontal="center" vertical="center"/>
    </xf>
    <xf numFmtId="0" fontId="13" fillId="0" borderId="34" xfId="4" applyFont="1" applyBorder="1" applyAlignment="1">
      <alignment horizontal="right" vertical="center" wrapText="1"/>
    </xf>
    <xf numFmtId="0" fontId="13" fillId="0" borderId="15" xfId="4" applyFont="1" applyBorder="1" applyAlignment="1">
      <alignment horizontal="right" vertical="center" wrapText="1"/>
    </xf>
    <xf numFmtId="172" fontId="10" fillId="5" borderId="5" xfId="2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4" applyFont="1" applyAlignment="1">
      <alignment horizontal="right" vertical="center"/>
    </xf>
    <xf numFmtId="172" fontId="9" fillId="3" borderId="5" xfId="2" applyNumberFormat="1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 vertical="center" wrapText="1"/>
      <protection hidden="1"/>
    </xf>
    <xf numFmtId="0" fontId="9" fillId="13" borderId="29" xfId="0" applyFont="1" applyFill="1" applyBorder="1" applyAlignment="1" applyProtection="1">
      <alignment horizontal="center" vertical="center" wrapText="1"/>
      <protection hidden="1"/>
    </xf>
    <xf numFmtId="0" fontId="47" fillId="13" borderId="5" xfId="0" applyFont="1" applyFill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37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13" fillId="6" borderId="4" xfId="4" applyFont="1" applyFill="1" applyBorder="1" applyAlignment="1">
      <alignment vertical="center" wrapText="1"/>
    </xf>
    <xf numFmtId="0" fontId="13" fillId="6" borderId="4" xfId="4" applyFont="1" applyFill="1" applyBorder="1" applyAlignment="1">
      <alignment vertical="center"/>
    </xf>
    <xf numFmtId="0" fontId="13" fillId="0" borderId="4" xfId="4" applyFont="1" applyBorder="1" applyAlignment="1">
      <alignment vertical="center"/>
    </xf>
    <xf numFmtId="0" fontId="9" fillId="10" borderId="9" xfId="4" applyFont="1" applyFill="1" applyBorder="1" applyAlignment="1">
      <alignment horizontal="center" vertical="center" wrapText="1"/>
    </xf>
    <xf numFmtId="0" fontId="9" fillId="10" borderId="14" xfId="4" applyFont="1" applyFill="1" applyBorder="1" applyAlignment="1">
      <alignment horizontal="center" vertical="center" wrapText="1"/>
    </xf>
    <xf numFmtId="0" fontId="9" fillId="13" borderId="5" xfId="4" applyFont="1" applyFill="1" applyBorder="1" applyAlignment="1" applyProtection="1">
      <alignment horizontal="center" vertical="center" wrapText="1"/>
      <protection hidden="1"/>
    </xf>
    <xf numFmtId="0" fontId="9" fillId="13" borderId="6" xfId="4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49" fontId="10" fillId="3" borderId="5" xfId="4" applyNumberFormat="1" applyFont="1" applyFill="1" applyBorder="1" applyAlignment="1" applyProtection="1">
      <alignment horizontal="center" vertical="center" shrinkToFit="1"/>
      <protection hidden="1"/>
    </xf>
    <xf numFmtId="172" fontId="10" fillId="3" borderId="5" xfId="2" applyNumberFormat="1" applyFont="1" applyFill="1" applyBorder="1" applyAlignment="1" applyProtection="1">
      <alignment horizontal="right" vertical="center" shrinkToFit="1"/>
      <protection hidden="1"/>
    </xf>
    <xf numFmtId="172" fontId="10" fillId="3" borderId="6" xfId="2" applyNumberFormat="1" applyFont="1" applyFill="1" applyBorder="1" applyAlignment="1" applyProtection="1">
      <alignment horizontal="right" vertical="center" shrinkToFit="1"/>
      <protection hidden="1"/>
    </xf>
    <xf numFmtId="172" fontId="10" fillId="3" borderId="5" xfId="2" applyNumberFormat="1" applyFont="1" applyFill="1" applyBorder="1" applyAlignment="1" applyProtection="1">
      <alignment horizontal="center" vertical="center" shrinkToFit="1"/>
      <protection hidden="1"/>
    </xf>
    <xf numFmtId="10" fontId="10" fillId="3" borderId="5" xfId="3" applyNumberFormat="1" applyFont="1" applyFill="1" applyBorder="1" applyAlignment="1" applyProtection="1">
      <alignment horizontal="center" vertical="center" shrinkToFit="1"/>
      <protection hidden="1"/>
    </xf>
    <xf numFmtId="172" fontId="10" fillId="3" borderId="11" xfId="2" applyNumberFormat="1" applyFont="1" applyFill="1" applyBorder="1" applyAlignment="1" applyProtection="1">
      <alignment horizontal="right" vertical="center" shrinkToFit="1"/>
      <protection hidden="1"/>
    </xf>
    <xf numFmtId="172" fontId="10" fillId="3" borderId="7" xfId="2" applyNumberFormat="1" applyFont="1" applyFill="1" applyBorder="1" applyAlignment="1" applyProtection="1">
      <alignment horizontal="right" vertical="center" shrinkToFit="1"/>
      <protection hidden="1"/>
    </xf>
    <xf numFmtId="49" fontId="10" fillId="3" borderId="21" xfId="4" applyNumberFormat="1" applyFont="1" applyFill="1" applyBorder="1" applyAlignment="1" applyProtection="1">
      <alignment horizontal="center" vertical="center" shrinkToFit="1"/>
      <protection hidden="1"/>
    </xf>
    <xf numFmtId="172" fontId="10" fillId="3" borderId="21" xfId="2" applyNumberFormat="1" applyFont="1" applyFill="1" applyBorder="1" applyAlignment="1" applyProtection="1">
      <alignment horizontal="right" vertical="center" shrinkToFit="1"/>
      <protection hidden="1"/>
    </xf>
    <xf numFmtId="172" fontId="10" fillId="3" borderId="22" xfId="2" applyNumberFormat="1" applyFont="1" applyFill="1" applyBorder="1" applyAlignment="1" applyProtection="1">
      <alignment horizontal="right" vertical="center" shrinkToFit="1"/>
      <protection hidden="1"/>
    </xf>
    <xf numFmtId="172" fontId="10" fillId="3" borderId="20" xfId="2" applyNumberFormat="1" applyFont="1" applyFill="1" applyBorder="1" applyAlignment="1" applyProtection="1">
      <alignment horizontal="right" vertical="center" shrinkToFit="1"/>
      <protection hidden="1"/>
    </xf>
    <xf numFmtId="5" fontId="13" fillId="4" borderId="16" xfId="2" applyNumberFormat="1" applyFont="1" applyFill="1" applyBorder="1" applyAlignment="1" applyProtection="1">
      <alignment horizontal="center" vertical="center" shrinkToFit="1"/>
      <protection hidden="1"/>
    </xf>
    <xf numFmtId="10" fontId="13" fillId="4" borderId="16" xfId="3" applyNumberFormat="1" applyFont="1" applyFill="1" applyBorder="1" applyAlignment="1" applyProtection="1">
      <alignment horizontal="center" vertical="center" shrinkToFit="1"/>
      <protection hidden="1"/>
    </xf>
    <xf numFmtId="5" fontId="13" fillId="4" borderId="16" xfId="2" applyNumberFormat="1" applyFont="1" applyFill="1" applyBorder="1" applyAlignment="1" applyProtection="1">
      <alignment horizontal="center" vertical="center" shrinkToFit="1"/>
    </xf>
    <xf numFmtId="5" fontId="13" fillId="4" borderId="19" xfId="2" applyNumberFormat="1" applyFont="1" applyFill="1" applyBorder="1" applyAlignment="1" applyProtection="1">
      <alignment horizontal="center" vertical="center" shrinkToFit="1"/>
      <protection hidden="1"/>
    </xf>
    <xf numFmtId="172" fontId="9" fillId="4" borderId="16" xfId="2" applyNumberFormat="1" applyFont="1" applyFill="1" applyBorder="1" applyAlignment="1" applyProtection="1">
      <alignment horizontal="right" vertical="center" shrinkToFit="1"/>
      <protection hidden="1"/>
    </xf>
    <xf numFmtId="10" fontId="9" fillId="4" borderId="16" xfId="3" applyNumberFormat="1" applyFont="1" applyFill="1" applyBorder="1" applyAlignment="1" applyProtection="1">
      <alignment horizontal="center" vertical="center" shrinkToFit="1"/>
      <protection hidden="1"/>
    </xf>
    <xf numFmtId="172" fontId="9" fillId="4" borderId="16" xfId="2" applyNumberFormat="1" applyFont="1" applyFill="1" applyBorder="1" applyAlignment="1" applyProtection="1">
      <alignment horizontal="right" vertical="center" shrinkToFit="1"/>
    </xf>
    <xf numFmtId="169" fontId="10" fillId="3" borderId="5" xfId="4" applyNumberFormat="1" applyFont="1" applyFill="1" applyBorder="1" applyAlignment="1" applyProtection="1">
      <alignment horizontal="center" vertical="center"/>
      <protection hidden="1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3" fillId="0" borderId="3" xfId="4" applyFont="1" applyBorder="1" applyAlignment="1" applyProtection="1">
      <alignment horizontal="center" vertical="center" wrapText="1"/>
      <protection hidden="1"/>
    </xf>
    <xf numFmtId="170" fontId="9" fillId="0" borderId="2" xfId="4" applyNumberFormat="1" applyFont="1" applyBorder="1" applyAlignment="1" applyProtection="1">
      <alignment horizontal="center" vertical="center" wrapText="1"/>
      <protection hidden="1"/>
    </xf>
    <xf numFmtId="0" fontId="9" fillId="0" borderId="2" xfId="4" applyFont="1" applyBorder="1" applyAlignment="1" applyProtection="1">
      <alignment horizontal="center" vertical="center"/>
      <protection hidden="1"/>
    </xf>
    <xf numFmtId="0" fontId="9" fillId="0" borderId="2" xfId="4" applyFont="1" applyBorder="1" applyAlignment="1" applyProtection="1">
      <alignment horizontal="center" vertical="center" wrapText="1"/>
      <protection hidden="1"/>
    </xf>
    <xf numFmtId="172" fontId="10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4" applyFont="1" applyBorder="1" applyAlignment="1" applyProtection="1">
      <alignment horizontal="center" vertical="center" wrapText="1"/>
      <protection hidden="1"/>
    </xf>
    <xf numFmtId="0" fontId="10" fillId="3" borderId="1" xfId="4" applyFont="1" applyFill="1" applyBorder="1" applyAlignment="1" applyProtection="1">
      <alignment horizontal="center" vertical="center" wrapText="1"/>
      <protection hidden="1"/>
    </xf>
    <xf numFmtId="0" fontId="10" fillId="0" borderId="1" xfId="4" applyFont="1" applyBorder="1" applyAlignment="1" applyProtection="1">
      <alignment horizontal="center" vertical="center" wrapText="1"/>
      <protection hidden="1"/>
    </xf>
    <xf numFmtId="1" fontId="10" fillId="3" borderId="1" xfId="4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Alignment="1" applyProtection="1">
      <alignment horizontal="center" vertical="center"/>
      <protection hidden="1"/>
    </xf>
    <xf numFmtId="0" fontId="10" fillId="0" borderId="1" xfId="4" applyFont="1" applyBorder="1" applyAlignment="1" applyProtection="1">
      <alignment horizontal="center" vertical="center"/>
      <protection hidden="1"/>
    </xf>
    <xf numFmtId="167" fontId="10" fillId="0" borderId="1" xfId="4" applyNumberFormat="1" applyFont="1" applyBorder="1" applyAlignment="1" applyProtection="1">
      <alignment horizontal="center" vertical="center" wrapText="1"/>
      <protection hidden="1"/>
    </xf>
    <xf numFmtId="169" fontId="9" fillId="4" borderId="6" xfId="4" applyNumberFormat="1" applyFont="1" applyFill="1" applyBorder="1" applyAlignment="1" applyProtection="1">
      <alignment horizontal="center" vertical="center" shrinkToFit="1"/>
      <protection hidden="1"/>
    </xf>
    <xf numFmtId="0" fontId="10" fillId="0" borderId="7" xfId="4" applyFont="1" applyBorder="1" applyAlignment="1" applyProtection="1">
      <alignment horizontal="center" vertical="center"/>
      <protection hidden="1"/>
    </xf>
    <xf numFmtId="0" fontId="10" fillId="0" borderId="6" xfId="4" applyFont="1" applyBorder="1" applyAlignment="1" applyProtection="1">
      <alignment horizontal="center" vertical="center"/>
      <protection hidden="1"/>
    </xf>
    <xf numFmtId="0" fontId="10" fillId="0" borderId="3" xfId="4" applyFont="1" applyBorder="1" applyAlignment="1" applyProtection="1">
      <alignment horizontal="center" vertical="center" wrapText="1"/>
      <protection hidden="1"/>
    </xf>
    <xf numFmtId="165" fontId="12" fillId="0" borderId="4" xfId="2" applyFont="1" applyFill="1" applyBorder="1" applyAlignment="1" applyProtection="1">
      <alignment horizontal="right" vertical="center" wrapText="1"/>
    </xf>
    <xf numFmtId="0" fontId="21" fillId="6" borderId="0" xfId="4" applyFont="1" applyFill="1" applyAlignment="1">
      <alignment vertical="center"/>
    </xf>
    <xf numFmtId="0" fontId="1" fillId="6" borderId="0" xfId="4" applyFill="1" applyAlignment="1">
      <alignment vertical="center"/>
    </xf>
    <xf numFmtId="0" fontId="13" fillId="0" borderId="5" xfId="4" applyFont="1" applyBorder="1" applyAlignment="1" applyProtection="1">
      <alignment horizontal="center" vertical="center" wrapText="1"/>
      <protection hidden="1"/>
    </xf>
    <xf numFmtId="0" fontId="9" fillId="17" borderId="5" xfId="4" applyFont="1" applyFill="1" applyBorder="1" applyAlignment="1" applyProtection="1">
      <alignment horizontal="center" vertical="center" wrapText="1"/>
      <protection hidden="1"/>
    </xf>
    <xf numFmtId="0" fontId="17" fillId="6" borderId="0" xfId="4" applyFont="1" applyFill="1" applyAlignment="1">
      <alignment horizontal="left" vertical="center"/>
    </xf>
    <xf numFmtId="0" fontId="5" fillId="6" borderId="0" xfId="4" applyFont="1" applyFill="1" applyAlignment="1">
      <alignment horizontal="right" vertical="center" wrapText="1"/>
    </xf>
    <xf numFmtId="0" fontId="9" fillId="12" borderId="5" xfId="4" applyFont="1" applyFill="1" applyBorder="1" applyAlignment="1" applyProtection="1">
      <alignment horizontal="center" vertical="center" wrapText="1"/>
      <protection hidden="1"/>
    </xf>
    <xf numFmtId="0" fontId="13" fillId="12" borderId="5" xfId="4" applyFont="1" applyFill="1" applyBorder="1" applyAlignment="1" applyProtection="1">
      <alignment horizontal="center" vertical="center" wrapText="1"/>
      <protection hidden="1"/>
    </xf>
    <xf numFmtId="0" fontId="13" fillId="20" borderId="5" xfId="0" applyFont="1" applyFill="1" applyBorder="1" applyAlignment="1" applyProtection="1">
      <alignment horizontal="center" vertical="center" wrapText="1"/>
      <protection hidden="1"/>
    </xf>
    <xf numFmtId="0" fontId="9" fillId="20" borderId="5" xfId="4" applyFont="1" applyFill="1" applyBorder="1" applyAlignment="1" applyProtection="1">
      <alignment horizontal="center" vertical="center" wrapText="1"/>
      <protection hidden="1"/>
    </xf>
    <xf numFmtId="0" fontId="13" fillId="21" borderId="5" xfId="4" applyFont="1" applyFill="1" applyBorder="1" applyAlignment="1" applyProtection="1">
      <alignment horizontal="center" vertical="center" wrapText="1"/>
      <protection hidden="1"/>
    </xf>
    <xf numFmtId="0" fontId="9" fillId="21" borderId="5" xfId="4" applyFont="1" applyFill="1" applyBorder="1" applyAlignment="1" applyProtection="1">
      <alignment horizontal="center" vertical="center" wrapText="1"/>
      <protection hidden="1"/>
    </xf>
    <xf numFmtId="0" fontId="13" fillId="22" borderId="5" xfId="4" applyFont="1" applyFill="1" applyBorder="1" applyAlignment="1" applyProtection="1">
      <alignment horizontal="center" vertical="center" wrapText="1"/>
      <protection hidden="1"/>
    </xf>
    <xf numFmtId="0" fontId="9" fillId="22" borderId="5" xfId="4" applyFont="1" applyFill="1" applyBorder="1" applyAlignment="1" applyProtection="1">
      <alignment horizontal="center" vertical="center" wrapText="1"/>
      <protection hidden="1"/>
    </xf>
    <xf numFmtId="0" fontId="57" fillId="0" borderId="0" xfId="0" applyFont="1" applyAlignment="1" applyProtection="1">
      <alignment horizontal="center" vertical="center"/>
      <protection locked="0" hidden="1"/>
    </xf>
    <xf numFmtId="0" fontId="9" fillId="14" borderId="1" xfId="0" applyFont="1" applyFill="1" applyBorder="1" applyAlignment="1">
      <alignment horizontal="left" vertical="center" wrapText="1"/>
    </xf>
    <xf numFmtId="0" fontId="9" fillId="14" borderId="3" xfId="0" applyFont="1" applyFill="1" applyBorder="1" applyAlignment="1">
      <alignment horizontal="left" vertical="center" wrapText="1"/>
    </xf>
    <xf numFmtId="0" fontId="21" fillId="14" borderId="1" xfId="4" applyFont="1" applyFill="1" applyBorder="1" applyAlignment="1">
      <alignment horizontal="center" vertical="center"/>
    </xf>
    <xf numFmtId="181" fontId="9" fillId="3" borderId="10" xfId="5" applyNumberFormat="1" applyFont="1" applyFill="1" applyBorder="1" applyAlignment="1" applyProtection="1">
      <alignment horizontal="center" vertical="center" wrapText="1"/>
      <protection hidden="1"/>
    </xf>
    <xf numFmtId="6" fontId="43" fillId="3" borderId="5" xfId="2" applyNumberFormat="1" applyFont="1" applyFill="1" applyBorder="1" applyAlignment="1" applyProtection="1">
      <alignment horizontal="center" vertical="center" shrinkToFit="1"/>
    </xf>
    <xf numFmtId="0" fontId="57" fillId="9" borderId="0" xfId="0" applyFont="1" applyFill="1" applyAlignment="1" applyProtection="1">
      <alignment horizontal="center" vertical="center"/>
      <protection locked="0" hidden="1"/>
    </xf>
    <xf numFmtId="176" fontId="28" fillId="0" borderId="0" xfId="2" applyNumberFormat="1" applyFont="1" applyFill="1" applyBorder="1" applyAlignment="1" applyProtection="1">
      <alignment horizontal="center" wrapText="1"/>
      <protection hidden="1"/>
    </xf>
    <xf numFmtId="10" fontId="14" fillId="0" borderId="0" xfId="3" applyNumberFormat="1" applyFont="1" applyFill="1" applyBorder="1" applyAlignment="1" applyProtection="1">
      <alignment horizontal="left" shrinkToFit="1"/>
    </xf>
    <xf numFmtId="174" fontId="27" fillId="14" borderId="0" xfId="0" applyNumberFormat="1" applyFont="1" applyFill="1" applyAlignment="1" applyProtection="1">
      <alignment horizontal="center" vertical="center"/>
      <protection hidden="1"/>
    </xf>
    <xf numFmtId="174" fontId="31" fillId="14" borderId="0" xfId="0" applyNumberFormat="1" applyFont="1" applyFill="1" applyAlignment="1" applyProtection="1">
      <alignment horizontal="center" vertical="center"/>
      <protection hidden="1"/>
    </xf>
    <xf numFmtId="174" fontId="27" fillId="14" borderId="0" xfId="0" applyNumberFormat="1" applyFont="1" applyFill="1" applyAlignment="1" applyProtection="1">
      <alignment vertical="center"/>
      <protection hidden="1"/>
    </xf>
    <xf numFmtId="174" fontId="26" fillId="14" borderId="0" xfId="0" applyNumberFormat="1" applyFont="1" applyFill="1" applyAlignment="1" applyProtection="1">
      <alignment vertical="center"/>
      <protection hidden="1"/>
    </xf>
    <xf numFmtId="174" fontId="12" fillId="3" borderId="5" xfId="2" applyNumberFormat="1" applyFont="1" applyFill="1" applyBorder="1" applyAlignment="1" applyProtection="1">
      <alignment horizontal="center" vertical="center" shrinkToFit="1"/>
      <protection hidden="1"/>
    </xf>
    <xf numFmtId="174" fontId="10" fillId="3" borderId="3" xfId="2" applyNumberFormat="1" applyFont="1" applyFill="1" applyBorder="1" applyAlignment="1" applyProtection="1">
      <alignment horizontal="right" vertical="center" shrinkToFit="1"/>
      <protection hidden="1"/>
    </xf>
    <xf numFmtId="174" fontId="10" fillId="3" borderId="6" xfId="2" applyNumberFormat="1" applyFont="1" applyFill="1" applyBorder="1" applyAlignment="1" applyProtection="1">
      <alignment horizontal="center" vertical="center" shrinkToFit="1"/>
      <protection hidden="1"/>
    </xf>
    <xf numFmtId="174" fontId="12" fillId="17" borderId="5" xfId="2" applyNumberFormat="1" applyFont="1" applyFill="1" applyBorder="1" applyAlignment="1" applyProtection="1">
      <alignment horizontal="center" vertical="center" shrinkToFit="1"/>
      <protection hidden="1"/>
    </xf>
    <xf numFmtId="174" fontId="31" fillId="14" borderId="7" xfId="0" applyNumberFormat="1" applyFont="1" applyFill="1" applyBorder="1" applyAlignment="1" applyProtection="1">
      <alignment horizontal="center" vertical="center"/>
      <protection hidden="1"/>
    </xf>
    <xf numFmtId="174" fontId="32" fillId="14" borderId="5" xfId="0" applyNumberFormat="1" applyFont="1" applyFill="1" applyBorder="1" applyAlignment="1" applyProtection="1">
      <alignment horizontal="left" vertical="center" wrapText="1"/>
      <protection hidden="1"/>
    </xf>
    <xf numFmtId="174" fontId="26" fillId="14" borderId="5" xfId="0" applyNumberFormat="1" applyFont="1" applyFill="1" applyBorder="1" applyAlignment="1" applyProtection="1">
      <alignment vertical="center"/>
      <protection hidden="1"/>
    </xf>
    <xf numFmtId="174" fontId="28" fillId="14" borderId="5" xfId="0" applyNumberFormat="1" applyFont="1" applyFill="1" applyBorder="1" applyAlignment="1" applyProtection="1">
      <alignment vertical="center" wrapText="1"/>
      <protection hidden="1"/>
    </xf>
    <xf numFmtId="174" fontId="12" fillId="14" borderId="5" xfId="4" applyNumberFormat="1" applyFont="1" applyFill="1" applyBorder="1" applyAlignment="1" applyProtection="1">
      <alignment vertical="center"/>
      <protection hidden="1"/>
    </xf>
    <xf numFmtId="174" fontId="28" fillId="14" borderId="5" xfId="0" applyNumberFormat="1" applyFont="1" applyFill="1" applyBorder="1" applyAlignment="1" applyProtection="1">
      <alignment vertical="center"/>
      <protection hidden="1"/>
    </xf>
    <xf numFmtId="174" fontId="28" fillId="0" borderId="5" xfId="0" applyNumberFormat="1" applyFont="1" applyBorder="1" applyAlignment="1" applyProtection="1">
      <alignment vertical="center"/>
      <protection hidden="1"/>
    </xf>
    <xf numFmtId="174" fontId="28" fillId="0" borderId="0" xfId="0" applyNumberFormat="1" applyFont="1" applyAlignment="1" applyProtection="1">
      <alignment vertical="center"/>
      <protection hidden="1"/>
    </xf>
    <xf numFmtId="174" fontId="10" fillId="14" borderId="7" xfId="4" applyNumberFormat="1" applyFont="1" applyFill="1" applyBorder="1" applyAlignment="1" applyProtection="1">
      <alignment horizontal="right" vertical="center"/>
      <protection hidden="1"/>
    </xf>
    <xf numFmtId="0" fontId="28" fillId="0" borderId="5" xfId="0" applyFont="1" applyBorder="1" applyAlignment="1">
      <alignment horizontal="center" vertical="center" wrapText="1"/>
    </xf>
    <xf numFmtId="0" fontId="35" fillId="0" borderId="0" xfId="2" applyNumberFormat="1" applyFont="1" applyFill="1" applyBorder="1" applyAlignment="1" applyProtection="1">
      <alignment horizontal="left" vertical="center"/>
      <protection hidden="1"/>
    </xf>
    <xf numFmtId="10" fontId="10" fillId="3" borderId="3" xfId="3" applyNumberFormat="1" applyFont="1" applyFill="1" applyBorder="1" applyAlignment="1" applyProtection="1">
      <alignment horizontal="center" vertical="center" shrinkToFit="1"/>
      <protection hidden="1"/>
    </xf>
    <xf numFmtId="0" fontId="26" fillId="9" borderId="0" xfId="0" applyFont="1" applyFill="1" applyAlignment="1" applyProtection="1">
      <alignment horizontal="right" vertical="center" wrapText="1"/>
      <protection locked="0"/>
    </xf>
    <xf numFmtId="0" fontId="35" fillId="0" borderId="0" xfId="2" applyNumberFormat="1" applyFont="1" applyFill="1" applyBorder="1" applyAlignment="1" applyProtection="1">
      <alignment horizontal="left" vertical="center"/>
    </xf>
    <xf numFmtId="165" fontId="8" fillId="14" borderId="3" xfId="2" applyFont="1" applyFill="1" applyBorder="1" applyAlignment="1" applyProtection="1">
      <alignment vertical="center" wrapText="1"/>
    </xf>
    <xf numFmtId="0" fontId="8" fillId="14" borderId="1" xfId="4" applyFont="1" applyFill="1" applyBorder="1" applyAlignment="1">
      <alignment vertical="center"/>
    </xf>
    <xf numFmtId="0" fontId="12" fillId="14" borderId="1" xfId="4" applyFont="1" applyFill="1" applyBorder="1" applyAlignment="1">
      <alignment vertical="center"/>
    </xf>
    <xf numFmtId="0" fontId="10" fillId="14" borderId="6" xfId="4" applyFont="1" applyFill="1" applyBorder="1" applyAlignment="1">
      <alignment vertical="center"/>
    </xf>
    <xf numFmtId="0" fontId="9" fillId="14" borderId="1" xfId="4" applyFont="1" applyFill="1" applyBorder="1" applyAlignment="1">
      <alignment horizontal="center" vertical="center"/>
    </xf>
    <xf numFmtId="14" fontId="12" fillId="2" borderId="5" xfId="4" applyNumberFormat="1" applyFont="1" applyFill="1" applyBorder="1" applyAlignment="1" applyProtection="1">
      <alignment horizontal="center" vertical="center" shrinkToFit="1"/>
      <protection locked="0"/>
    </xf>
    <xf numFmtId="14" fontId="10" fillId="2" borderId="5" xfId="4" applyNumberFormat="1" applyFont="1" applyFill="1" applyBorder="1" applyAlignment="1" applyProtection="1">
      <alignment horizontal="center" vertical="center" shrinkToFit="1"/>
      <protection locked="0"/>
    </xf>
    <xf numFmtId="172" fontId="9" fillId="23" borderId="16" xfId="2" applyNumberFormat="1" applyFont="1" applyFill="1" applyBorder="1" applyAlignment="1" applyProtection="1">
      <alignment horizontal="right" vertical="center" shrinkToFit="1"/>
    </xf>
    <xf numFmtId="172" fontId="9" fillId="3" borderId="5" xfId="2" applyNumberFormat="1" applyFont="1" applyFill="1" applyBorder="1" applyAlignment="1" applyProtection="1">
      <alignment horizontal="right" vertical="center" wrapText="1"/>
    </xf>
    <xf numFmtId="172" fontId="10" fillId="2" borderId="5" xfId="2" applyNumberFormat="1" applyFont="1" applyFill="1" applyBorder="1" applyAlignment="1" applyProtection="1">
      <alignment horizontal="right" vertical="center" shrinkToFit="1"/>
      <protection locked="0"/>
    </xf>
    <xf numFmtId="172" fontId="10" fillId="2" borderId="12" xfId="2" applyNumberFormat="1" applyFont="1" applyFill="1" applyBorder="1" applyAlignment="1" applyProtection="1">
      <alignment horizontal="right" vertical="center" shrinkToFit="1"/>
      <protection locked="0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1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5" borderId="15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3" fillId="5" borderId="33" xfId="4" applyFont="1" applyFill="1" applyBorder="1" applyAlignment="1" applyProtection="1">
      <alignment horizontal="center" vertical="center" wrapText="1"/>
      <protection locked="0"/>
    </xf>
    <xf numFmtId="0" fontId="11" fillId="5" borderId="33" xfId="4" applyFont="1" applyFill="1" applyBorder="1" applyAlignment="1" applyProtection="1">
      <alignment horizontal="center" vertical="center" wrapText="1"/>
      <protection locked="0"/>
    </xf>
    <xf numFmtId="14" fontId="11" fillId="5" borderId="15" xfId="4" applyNumberFormat="1" applyFont="1" applyFill="1" applyBorder="1" applyAlignment="1" applyProtection="1">
      <alignment horizontal="center" vertical="center" wrapText="1"/>
      <protection locked="0"/>
    </xf>
    <xf numFmtId="0" fontId="11" fillId="5" borderId="8" xfId="4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3" fillId="13" borderId="24" xfId="4" applyFont="1" applyFill="1" applyBorder="1" applyAlignment="1">
      <alignment horizontal="center" vertical="center"/>
    </xf>
    <xf numFmtId="0" fontId="13" fillId="13" borderId="25" xfId="4" applyFont="1" applyFill="1" applyBorder="1" applyAlignment="1">
      <alignment horizontal="center" vertical="center"/>
    </xf>
    <xf numFmtId="0" fontId="13" fillId="13" borderId="26" xfId="4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4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19" borderId="5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34" fillId="0" borderId="3" xfId="4" applyFont="1" applyBorder="1" applyAlignment="1">
      <alignment horizontal="center" vertical="center" wrapText="1"/>
    </xf>
    <xf numFmtId="0" fontId="1" fillId="0" borderId="6" xfId="4" applyBorder="1" applyAlignment="1">
      <alignment horizontal="center" vertical="center" wrapText="1"/>
    </xf>
    <xf numFmtId="0" fontId="13" fillId="0" borderId="12" xfId="4" applyFont="1" applyBorder="1" applyAlignment="1">
      <alignment vertical="center" wrapText="1"/>
    </xf>
    <xf numFmtId="0" fontId="10" fillId="0" borderId="9" xfId="4" applyFont="1" applyBorder="1" applyAlignment="1">
      <alignment vertical="center" wrapText="1"/>
    </xf>
    <xf numFmtId="0" fontId="25" fillId="2" borderId="17" xfId="4" applyFont="1" applyFill="1" applyBorder="1" applyAlignment="1" applyProtection="1">
      <alignment horizontal="left" vertical="top" wrapText="1"/>
      <protection locked="0"/>
    </xf>
    <xf numFmtId="0" fontId="12" fillId="2" borderId="18" xfId="4" applyFont="1" applyFill="1" applyBorder="1" applyAlignment="1" applyProtection="1">
      <alignment horizontal="left" vertical="top" wrapText="1"/>
      <protection locked="0"/>
    </xf>
    <xf numFmtId="0" fontId="1" fillId="0" borderId="18" xfId="4" applyBorder="1" applyAlignment="1" applyProtection="1">
      <alignment wrapText="1"/>
      <protection locked="0"/>
    </xf>
    <xf numFmtId="0" fontId="1" fillId="0" borderId="11" xfId="4" applyBorder="1" applyAlignment="1">
      <alignment wrapText="1"/>
    </xf>
    <xf numFmtId="0" fontId="12" fillId="2" borderId="14" xfId="4" applyFont="1" applyFill="1" applyBorder="1" applyAlignment="1" applyProtection="1">
      <alignment horizontal="left" vertical="top" wrapText="1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" fillId="0" borderId="4" xfId="4" applyBorder="1" applyAlignment="1" applyProtection="1">
      <alignment wrapText="1"/>
      <protection locked="0"/>
    </xf>
    <xf numFmtId="0" fontId="1" fillId="0" borderId="20" xfId="4" applyBorder="1" applyAlignment="1">
      <alignment wrapText="1"/>
    </xf>
    <xf numFmtId="0" fontId="13" fillId="8" borderId="3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9" fillId="18" borderId="5" xfId="0" applyFont="1" applyFill="1" applyBorder="1" applyAlignment="1" applyProtection="1">
      <alignment horizontal="center" vertical="center" wrapText="1"/>
      <protection hidden="1"/>
    </xf>
    <xf numFmtId="0" fontId="27" fillId="3" borderId="3" xfId="0" applyFont="1" applyFill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right" vertical="center" wrapText="1"/>
      <protection hidden="1"/>
    </xf>
    <xf numFmtId="0" fontId="28" fillId="3" borderId="3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9" fillId="3" borderId="5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49" fontId="37" fillId="0" borderId="0" xfId="2" applyNumberFormat="1" applyFont="1" applyAlignment="1">
      <alignment horizontal="left" vertical="center" wrapText="1"/>
    </xf>
    <xf numFmtId="0" fontId="1" fillId="0" borderId="0" xfId="4" applyAlignment="1">
      <alignment horizontal="left" vertical="center" wrapText="1"/>
    </xf>
    <xf numFmtId="0" fontId="9" fillId="0" borderId="1" xfId="4" applyFont="1" applyBorder="1" applyAlignment="1" applyProtection="1">
      <alignment horizontal="right" vertical="center" wrapText="1"/>
      <protection hidden="1"/>
    </xf>
    <xf numFmtId="0" fontId="54" fillId="17" borderId="32" xfId="2" applyNumberFormat="1" applyFont="1" applyFill="1" applyBorder="1" applyAlignment="1" applyProtection="1">
      <alignment horizontal="center" vertical="center" wrapText="1"/>
      <protection hidden="1"/>
    </xf>
    <xf numFmtId="0" fontId="13" fillId="10" borderId="3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28" fillId="3" borderId="1" xfId="0" applyFont="1" applyFill="1" applyBorder="1" applyAlignment="1" applyProtection="1">
      <alignment horizontal="left" vertical="center" wrapText="1"/>
      <protection hidden="1"/>
    </xf>
    <xf numFmtId="0" fontId="28" fillId="3" borderId="6" xfId="0" applyFont="1" applyFill="1" applyBorder="1" applyAlignment="1" applyProtection="1">
      <alignment horizontal="left" vertical="center" wrapText="1"/>
      <protection hidden="1"/>
    </xf>
    <xf numFmtId="0" fontId="13" fillId="12" borderId="3" xfId="4" applyFont="1" applyFill="1" applyBorder="1" applyAlignment="1" applyProtection="1">
      <alignment horizontal="center" vertical="center" wrapText="1"/>
      <protection hidden="1"/>
    </xf>
    <xf numFmtId="0" fontId="13" fillId="12" borderId="1" xfId="4" applyFont="1" applyFill="1" applyBorder="1" applyAlignment="1" applyProtection="1">
      <alignment horizontal="center" vertical="center" wrapText="1"/>
      <protection hidden="1"/>
    </xf>
    <xf numFmtId="0" fontId="13" fillId="12" borderId="6" xfId="4" applyFont="1" applyFill="1" applyBorder="1" applyAlignment="1" applyProtection="1">
      <alignment horizontal="center" vertical="center" wrapText="1"/>
      <protection hidden="1"/>
    </xf>
    <xf numFmtId="0" fontId="13" fillId="11" borderId="3" xfId="0" applyFont="1" applyFill="1" applyBorder="1" applyAlignment="1" applyProtection="1">
      <alignment horizontal="center" vertical="center" wrapText="1"/>
      <protection hidden="1"/>
    </xf>
    <xf numFmtId="0" fontId="13" fillId="11" borderId="1" xfId="0" applyFont="1" applyFill="1" applyBorder="1" applyAlignment="1" applyProtection="1">
      <alignment horizontal="center" vertical="center" wrapText="1"/>
      <protection hidden="1"/>
    </xf>
    <xf numFmtId="0" fontId="13" fillId="11" borderId="6" xfId="0" applyFont="1" applyFill="1" applyBorder="1" applyAlignment="1" applyProtection="1">
      <alignment horizontal="center" vertical="center" wrapText="1"/>
      <protection hidden="1"/>
    </xf>
    <xf numFmtId="0" fontId="21" fillId="8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5" borderId="1" xfId="4" applyFont="1" applyFill="1" applyBorder="1" applyAlignment="1" applyProtection="1">
      <alignment horizontal="center" vertical="center" wrapText="1"/>
      <protection locked="0"/>
    </xf>
    <xf numFmtId="0" fontId="13" fillId="5" borderId="1" xfId="4" applyFont="1" applyFill="1" applyBorder="1" applyAlignment="1" applyProtection="1">
      <alignment horizontal="center" vertical="center" wrapText="1"/>
      <protection locked="0"/>
    </xf>
    <xf numFmtId="0" fontId="13" fillId="5" borderId="6" xfId="4" applyFont="1" applyFill="1" applyBorder="1" applyAlignment="1" applyProtection="1">
      <alignment horizontal="center" vertical="center" wrapText="1"/>
      <protection locked="0"/>
    </xf>
    <xf numFmtId="14" fontId="11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5" borderId="6" xfId="4" applyFont="1" applyFill="1" applyBorder="1" applyAlignment="1" applyProtection="1">
      <alignment horizontal="center" vertical="center" wrapText="1"/>
      <protection locked="0"/>
    </xf>
    <xf numFmtId="0" fontId="9" fillId="14" borderId="3" xfId="4" applyFont="1" applyFill="1" applyBorder="1" applyAlignment="1">
      <alignment horizontal="left" vertical="center" wrapText="1"/>
    </xf>
    <xf numFmtId="0" fontId="9" fillId="14" borderId="1" xfId="4" applyFont="1" applyFill="1" applyBorder="1" applyAlignment="1">
      <alignment horizontal="left" vertical="center" wrapText="1"/>
    </xf>
    <xf numFmtId="0" fontId="9" fillId="0" borderId="6" xfId="4" applyFont="1" applyBorder="1" applyAlignment="1">
      <alignment horizontal="right" vertical="center" wrapText="1"/>
    </xf>
    <xf numFmtId="0" fontId="13" fillId="7" borderId="3" xfId="4" applyFont="1" applyFill="1" applyBorder="1" applyAlignment="1">
      <alignment horizontal="center" vertical="center"/>
    </xf>
    <xf numFmtId="0" fontId="9" fillId="7" borderId="6" xfId="4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43" fillId="13" borderId="24" xfId="4" applyFont="1" applyFill="1" applyBorder="1" applyAlignment="1">
      <alignment horizontal="center"/>
    </xf>
    <xf numFmtId="0" fontId="43" fillId="13" borderId="25" xfId="4" applyFont="1" applyFill="1" applyBorder="1" applyAlignment="1">
      <alignment horizontal="center"/>
    </xf>
    <xf numFmtId="0" fontId="43" fillId="13" borderId="26" xfId="4" applyFont="1" applyFill="1" applyBorder="1" applyAlignment="1">
      <alignment horizontal="center"/>
    </xf>
    <xf numFmtId="0" fontId="13" fillId="10" borderId="5" xfId="0" applyFont="1" applyFill="1" applyBorder="1" applyAlignment="1" applyProtection="1">
      <alignment horizontal="center" vertical="center" wrapText="1"/>
      <protection hidden="1"/>
    </xf>
    <xf numFmtId="0" fontId="5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7" fillId="3" borderId="5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8" fillId="3" borderId="5" xfId="0" applyFont="1" applyFill="1" applyBorder="1" applyAlignment="1" applyProtection="1">
      <alignment horizontal="left" vertical="center" wrapText="1"/>
      <protection hidden="1"/>
    </xf>
    <xf numFmtId="0" fontId="13" fillId="0" borderId="30" xfId="4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5" fillId="2" borderId="18" xfId="4" applyFon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43" fillId="6" borderId="0" xfId="0" applyFont="1" applyFill="1" applyAlignment="1" applyProtection="1">
      <alignment horizontal="left" vertical="center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</cellXfs>
  <cellStyles count="7">
    <cellStyle name="Milliers [0]" xfId="1" builtinId="6"/>
    <cellStyle name="Monétaire [0]" xfId="2" builtinId="7"/>
    <cellStyle name="Monétaire 2" xfId="5" xr:uid="{84D04B93-411A-4C2C-8F48-119ABFDCAC65}"/>
    <cellStyle name="Monétaire 3" xfId="6" xr:uid="{28CA1507-ACF2-48A2-A328-A01B94897912}"/>
    <cellStyle name="Normal" xfId="0" builtinId="0"/>
    <cellStyle name="Normal 2" xfId="4" xr:uid="{EE046D95-4259-4A10-9DEF-5D9B78A2DBDD}"/>
    <cellStyle name="Pourcentage" xfId="3" builtinId="5"/>
  </cellStyles>
  <dxfs count="20">
    <dxf>
      <font>
        <color rgb="FF9C0006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1F497D"/>
      <color rgb="FFF79646"/>
      <color rgb="FFFDE9D9"/>
      <color rgb="FFFCD5B4"/>
      <color rgb="FFE1EB81"/>
      <color rgb="FFD9D9D9"/>
      <color rgb="FFBFBFBF"/>
      <color rgb="FFFABF8F"/>
      <color rgb="FFF4750C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0" dropStyle="combo" dx="16" fmlaLink="$A$68" fmlaRange="$B$69:$B$88" sel="20" val="0"/>
</file>

<file path=xl/ctrlProps/ctrlProp2.xml><?xml version="1.0" encoding="utf-8"?>
<formControlPr xmlns="http://schemas.microsoft.com/office/spreadsheetml/2009/9/main" objectType="Drop" dropLines="4" dropStyle="combo" dx="16" fmlaLink="$L$68" fmlaRange="$L$69:$L$72" sel="4" val="0"/>
</file>

<file path=xl/ctrlProps/ctrlProp3.xml><?xml version="1.0" encoding="utf-8"?>
<formControlPr xmlns="http://schemas.microsoft.com/office/spreadsheetml/2009/9/main" objectType="Drop" dropLines="3" dropStyle="combo" dx="16" fmlaLink="$L$68" fmlaRange="$L$81:$L$83" sel="3" val="0"/>
</file>

<file path=xl/ctrlProps/ctrlProp4.xml><?xml version="1.0" encoding="utf-8"?>
<formControlPr xmlns="http://schemas.microsoft.com/office/spreadsheetml/2009/9/main" objectType="Drop" dropLines="18" dropStyle="combo" dx="16" fmlaLink="$A$68" fmlaRange="$B$68:$B$85" sel="1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266700</xdr:rowOff>
        </xdr:from>
        <xdr:to>
          <xdr:col>5</xdr:col>
          <xdr:colOff>619125</xdr:colOff>
          <xdr:row>5</xdr:row>
          <xdr:rowOff>47625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104814</xdr:colOff>
      <xdr:row>0</xdr:row>
      <xdr:rowOff>47664</xdr:rowOff>
    </xdr:from>
    <xdr:ext cx="735429" cy="757429"/>
    <xdr:pic>
      <xdr:nvPicPr>
        <xdr:cNvPr id="2" name="Image 1">
          <a:extLst>
            <a:ext uri="{FF2B5EF4-FFF2-40B4-BE49-F238E27FC236}">
              <a16:creationId xmlns:a16="http://schemas.microsoft.com/office/drawing/2014/main" id="{B0EFE292-8482-4B49-A0E8-56EE36760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14" y="47664"/>
          <a:ext cx="735429" cy="7574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11</xdr:row>
          <xdr:rowOff>38100</xdr:rowOff>
        </xdr:from>
        <xdr:to>
          <xdr:col>3</xdr:col>
          <xdr:colOff>914400</xdr:colOff>
          <xdr:row>11</xdr:row>
          <xdr:rowOff>342900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266700</xdr:rowOff>
        </xdr:from>
        <xdr:to>
          <xdr:col>5</xdr:col>
          <xdr:colOff>771525</xdr:colOff>
          <xdr:row>5</xdr:row>
          <xdr:rowOff>47625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95289</xdr:colOff>
      <xdr:row>0</xdr:row>
      <xdr:rowOff>57189</xdr:rowOff>
    </xdr:from>
    <xdr:ext cx="735429" cy="75742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89" y="57189"/>
          <a:ext cx="735429" cy="7574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11</xdr:row>
          <xdr:rowOff>38100</xdr:rowOff>
        </xdr:from>
        <xdr:to>
          <xdr:col>3</xdr:col>
          <xdr:colOff>1066800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AF98-6F8A-4939-8269-BACFB934A69B}">
  <sheetPr>
    <tabColor rgb="FFFF0000"/>
  </sheetPr>
  <dimension ref="A1:AQ242"/>
  <sheetViews>
    <sheetView tabSelected="1" zoomScaleNormal="100" zoomScaleSheetLayoutView="100" workbookViewId="0">
      <selection activeCell="B2" sqref="B2:E2"/>
    </sheetView>
  </sheetViews>
  <sheetFormatPr baseColWidth="10" defaultColWidth="8.88671875" defaultRowHeight="12.75" x14ac:dyDescent="0.2"/>
  <cols>
    <col min="1" max="1" width="10.5546875" style="13" customWidth="1"/>
    <col min="2" max="2" width="16.5546875" style="14" customWidth="1"/>
    <col min="3" max="14" width="13.77734375" style="13" customWidth="1"/>
    <col min="15" max="21" width="11.6640625" style="13" hidden="1" customWidth="1"/>
    <col min="22" max="22" width="0" style="13" hidden="1" customWidth="1"/>
    <col min="23" max="43" width="8.88671875" style="13"/>
    <col min="44" max="16384" width="8.88671875" style="66"/>
  </cols>
  <sheetData>
    <row r="1" spans="1:38" s="119" customFormat="1" ht="71.45" customHeight="1" thickBot="1" x14ac:dyDescent="0.3">
      <c r="A1" s="116"/>
      <c r="B1" s="117"/>
      <c r="C1" s="393" t="s">
        <v>187</v>
      </c>
      <c r="D1" s="393"/>
      <c r="E1" s="393"/>
      <c r="F1" s="393"/>
      <c r="G1" s="393"/>
      <c r="H1" s="393"/>
      <c r="I1" s="393"/>
      <c r="J1" s="393"/>
      <c r="K1" s="394"/>
      <c r="L1" s="394"/>
      <c r="M1" s="118"/>
      <c r="N1" s="118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s="20" customFormat="1" ht="32.1" customHeight="1" thickBot="1" x14ac:dyDescent="0.25">
      <c r="A2" s="3" t="s">
        <v>0</v>
      </c>
      <c r="B2" s="395"/>
      <c r="C2" s="396"/>
      <c r="D2" s="396"/>
      <c r="E2" s="397"/>
      <c r="F2" s="3" t="s">
        <v>1</v>
      </c>
      <c r="G2" s="395"/>
      <c r="H2" s="398"/>
      <c r="I2" s="279"/>
      <c r="J2" s="280" t="s">
        <v>76</v>
      </c>
      <c r="K2" s="399"/>
      <c r="L2" s="400"/>
      <c r="M2" s="15"/>
    </row>
    <row r="3" spans="1:38" s="20" customFormat="1" ht="24" customHeight="1" x14ac:dyDescent="0.2">
      <c r="A3" s="57" t="s">
        <v>77</v>
      </c>
      <c r="B3" s="17"/>
      <c r="C3" s="54"/>
      <c r="D3" s="37"/>
      <c r="G3" s="56"/>
      <c r="K3" s="27"/>
      <c r="L3" s="27"/>
      <c r="M3" s="15"/>
    </row>
    <row r="4" spans="1:38" s="13" customFormat="1" ht="17.100000000000001" customHeight="1" x14ac:dyDescent="0.2">
      <c r="A4" s="52"/>
      <c r="B4" s="52"/>
      <c r="C4" s="52"/>
      <c r="G4" s="55"/>
      <c r="H4" s="55"/>
      <c r="I4" s="55"/>
      <c r="J4" s="55"/>
      <c r="K4" s="55"/>
      <c r="L4" s="55"/>
      <c r="M4" s="54"/>
    </row>
    <row r="5" spans="1:38" s="13" customFormat="1" ht="24" customHeight="1" x14ac:dyDescent="0.2">
      <c r="A5" s="401" t="s">
        <v>13</v>
      </c>
      <c r="B5" s="402"/>
      <c r="C5" s="16"/>
      <c r="D5" s="46"/>
      <c r="E5" s="46"/>
      <c r="G5" s="55"/>
      <c r="H5" s="55"/>
      <c r="I5" s="55"/>
      <c r="J5" s="55"/>
      <c r="K5" s="55"/>
      <c r="L5" s="55"/>
      <c r="M5" s="54"/>
    </row>
    <row r="6" spans="1:38" s="13" customFormat="1" ht="17.100000000000001" customHeight="1" x14ac:dyDescent="0.2">
      <c r="A6" s="16"/>
      <c r="B6" s="16"/>
      <c r="C6" s="16"/>
      <c r="D6" s="48"/>
      <c r="E6" s="48"/>
      <c r="F6" s="50"/>
      <c r="G6" s="16"/>
      <c r="H6" s="16"/>
      <c r="I6" s="16"/>
      <c r="J6" s="48"/>
      <c r="K6" s="48"/>
      <c r="L6" s="50"/>
      <c r="M6" s="16"/>
    </row>
    <row r="7" spans="1:38" s="13" customFormat="1" ht="30" customHeight="1" x14ac:dyDescent="0.2">
      <c r="A7" s="53"/>
      <c r="B7" s="53" t="s">
        <v>36</v>
      </c>
      <c r="C7" s="391" t="s">
        <v>2</v>
      </c>
      <c r="D7" s="392"/>
      <c r="E7" s="281"/>
      <c r="F7" s="52" t="s">
        <v>3</v>
      </c>
      <c r="G7" s="7"/>
      <c r="I7" s="105" t="s">
        <v>4</v>
      </c>
      <c r="J7" s="7"/>
      <c r="K7" s="52" t="s">
        <v>5</v>
      </c>
      <c r="L7" s="120">
        <f>(G7*J7)/60</f>
        <v>0</v>
      </c>
      <c r="M7" s="51"/>
    </row>
    <row r="8" spans="1:38" s="16" customFormat="1" ht="30" customHeight="1" x14ac:dyDescent="0.2">
      <c r="D8" s="48"/>
      <c r="E8" s="48"/>
      <c r="F8" s="50"/>
      <c r="K8" s="49" t="s">
        <v>6</v>
      </c>
      <c r="L8" s="278">
        <f>IF(L7=0,0,$E$7/$L$7)</f>
        <v>0</v>
      </c>
    </row>
    <row r="9" spans="1:38" s="16" customFormat="1" ht="30" customHeight="1" x14ac:dyDescent="0.2">
      <c r="C9" s="406" t="s">
        <v>7</v>
      </c>
      <c r="D9" s="407"/>
      <c r="E9" s="12"/>
      <c r="F9" s="4">
        <f>IF(E9="Yes",60%,49%)</f>
        <v>0.49</v>
      </c>
      <c r="G9" s="47"/>
      <c r="H9" s="47"/>
      <c r="I9" s="47"/>
      <c r="J9" s="47"/>
      <c r="K9" s="47"/>
      <c r="L9" s="47"/>
    </row>
    <row r="10" spans="1:38" s="16" customFormat="1" ht="32.25" hidden="1" customHeight="1" x14ac:dyDescent="0.2">
      <c r="D10" s="48"/>
      <c r="E10" s="48"/>
      <c r="F10" s="50"/>
      <c r="K10" s="49"/>
      <c r="L10" s="49"/>
    </row>
    <row r="11" spans="1:38" s="16" customFormat="1" ht="30" customHeight="1" x14ac:dyDescent="0.2">
      <c r="C11" s="391" t="s">
        <v>9</v>
      </c>
      <c r="D11" s="392"/>
      <c r="E11" s="12"/>
      <c r="F11" s="47"/>
      <c r="G11" s="47"/>
      <c r="H11" s="47"/>
      <c r="I11" s="47"/>
      <c r="J11" s="401" t="s">
        <v>11</v>
      </c>
      <c r="K11" s="402"/>
      <c r="L11" s="126" t="str">
        <f>IF(OR(A68=20,N(E$7)=0,L$8=0),"",IF(AND(AND(A$68&gt;9,A$68&lt;18),L8&gt;=800000),"Yes",IF(AND(OR(A$68=1,A$68=2,A$68=8,A$68=9),L8&gt;=750000),"Yes",IF(AND(AND(A$68&gt;4,A$68&lt;8),L8&gt;=400000),"Yes","No"))))</f>
        <v/>
      </c>
      <c r="M11" s="127" t="str">
        <f>IFERROR(IF(L11="Yes","N/A to animated productions",""),"")</f>
        <v/>
      </c>
    </row>
    <row r="12" spans="1:38" s="16" customFormat="1" ht="30" customHeight="1" x14ac:dyDescent="0.2">
      <c r="C12" s="2"/>
      <c r="D12" s="2"/>
      <c r="E12" s="281"/>
      <c r="F12" s="47"/>
      <c r="G12" s="47"/>
      <c r="H12" s="47"/>
      <c r="I12" s="47"/>
      <c r="J12" s="401" t="s">
        <v>12</v>
      </c>
      <c r="K12" s="402"/>
      <c r="L12" s="8" t="str">
        <f>IF(N(E$7)=0,"",IF(E$7&gt;500000,"Yes","No"))</f>
        <v/>
      </c>
      <c r="M12" s="127" t="str">
        <f>IFERROR(IF(L12="Yes","N/A to live-to-air productions",""),"")</f>
        <v/>
      </c>
    </row>
    <row r="13" spans="1:38" s="16" customFormat="1" ht="48" customHeight="1" x14ac:dyDescent="0.2">
      <c r="A13" s="408" t="str">
        <f>IF(L$68=2,"Are the AMI Applicant’s development and production projects that received CMF funding mainly and predominantly in the English language?","")</f>
        <v/>
      </c>
      <c r="B13" s="408"/>
      <c r="C13" s="408"/>
      <c r="D13" s="408"/>
      <c r="E13" s="12"/>
      <c r="F13" s="48"/>
      <c r="G13" s="47"/>
      <c r="H13" s="47"/>
      <c r="I13" s="47"/>
      <c r="J13" s="47"/>
      <c r="K13" s="47"/>
      <c r="L13" s="47"/>
    </row>
    <row r="14" spans="1:38" s="85" customFormat="1" ht="30" customHeight="1" x14ac:dyDescent="0.2">
      <c r="B14" s="86"/>
      <c r="C14" s="409" t="s">
        <v>184</v>
      </c>
      <c r="D14" s="410"/>
      <c r="E14" s="7"/>
      <c r="F14" s="87"/>
      <c r="G14"/>
      <c r="H14"/>
      <c r="I14"/>
      <c r="J14"/>
      <c r="K14" s="88"/>
      <c r="L14" s="87"/>
      <c r="M14" s="87"/>
    </row>
    <row r="15" spans="1:38" s="85" customFormat="1" ht="30" customHeight="1" x14ac:dyDescent="0.2">
      <c r="B15" s="86"/>
      <c r="C15" s="409" t="s">
        <v>185</v>
      </c>
      <c r="D15" s="410"/>
      <c r="E15" s="283">
        <f>IF(E14="Yes",C30-E16,0)</f>
        <v>0</v>
      </c>
      <c r="F15" s="87"/>
      <c r="I15" s="89"/>
      <c r="J15" s="87"/>
      <c r="K15" s="87"/>
      <c r="L15" s="87"/>
      <c r="M15" s="87"/>
    </row>
    <row r="16" spans="1:38" s="89" customFormat="1" ht="30" customHeight="1" x14ac:dyDescent="0.2">
      <c r="B16" s="86"/>
      <c r="C16" s="411" t="s">
        <v>186</v>
      </c>
      <c r="D16" s="412"/>
      <c r="E16" s="281"/>
      <c r="F16" s="87"/>
      <c r="J16" s="84"/>
      <c r="K16" s="88"/>
      <c r="L16" s="84"/>
      <c r="M16" s="84"/>
    </row>
    <row r="17" spans="1:12" s="85" customFormat="1" ht="15" hidden="1" x14ac:dyDescent="0.2">
      <c r="A17" s="90"/>
      <c r="B17" s="91"/>
      <c r="C17" s="91"/>
      <c r="D17" s="91"/>
      <c r="F17" s="92"/>
      <c r="G17" s="92"/>
      <c r="H17" s="92"/>
      <c r="I17" s="89"/>
      <c r="J17" s="87"/>
      <c r="K17" s="87"/>
      <c r="L17" s="87"/>
    </row>
    <row r="18" spans="1:12" s="85" customFormat="1" ht="17.100000000000001" customHeight="1" x14ac:dyDescent="0.2">
      <c r="A18" s="77"/>
      <c r="B18" s="91"/>
      <c r="C18" s="91"/>
      <c r="D18" s="91"/>
      <c r="F18" s="92"/>
      <c r="G18" s="92"/>
      <c r="H18" s="92"/>
      <c r="I18" s="89"/>
      <c r="J18" s="87"/>
      <c r="K18" s="87"/>
      <c r="L18" s="87"/>
    </row>
    <row r="19" spans="1:12" s="16" customFormat="1" ht="17.100000000000001" customHeight="1" x14ac:dyDescent="0.2">
      <c r="A19" s="376" t="s">
        <v>242</v>
      </c>
      <c r="B19" s="28"/>
      <c r="C19" s="35"/>
      <c r="E19" s="15"/>
      <c r="F19" s="15"/>
      <c r="G19" s="34"/>
      <c r="J19" s="15"/>
    </row>
    <row r="20" spans="1:12" s="16" customFormat="1" ht="17.100000000000001" customHeight="1" x14ac:dyDescent="0.2">
      <c r="A20" s="288" t="s">
        <v>14</v>
      </c>
      <c r="B20" s="28"/>
      <c r="C20" s="35"/>
      <c r="E20" s="15"/>
      <c r="F20" s="15"/>
      <c r="G20" s="34"/>
      <c r="J20" s="15"/>
    </row>
    <row r="21" spans="1:12" s="16" customFormat="1" ht="17.100000000000001" customHeight="1" x14ac:dyDescent="0.2">
      <c r="A21" s="289" t="s">
        <v>15</v>
      </c>
      <c r="D21" s="28"/>
      <c r="E21" s="45"/>
      <c r="F21" s="45"/>
      <c r="G21" s="44"/>
      <c r="H21" s="380"/>
      <c r="I21" s="381"/>
      <c r="J21" s="352" t="s">
        <v>16</v>
      </c>
      <c r="K21" s="382"/>
      <c r="L21" s="383"/>
    </row>
    <row r="22" spans="1:12" s="16" customFormat="1" ht="92.25" customHeight="1" x14ac:dyDescent="0.2">
      <c r="A22" s="413" t="s">
        <v>246</v>
      </c>
      <c r="B22" s="414"/>
      <c r="C22" s="10" t="s">
        <v>196</v>
      </c>
      <c r="D22" s="286" t="s">
        <v>233</v>
      </c>
      <c r="E22" s="95" t="s">
        <v>197</v>
      </c>
      <c r="F22" s="95" t="s">
        <v>17</v>
      </c>
      <c r="G22" s="95" t="s">
        <v>231</v>
      </c>
      <c r="H22" s="287" t="s">
        <v>18</v>
      </c>
      <c r="I22" s="287" t="s">
        <v>19</v>
      </c>
      <c r="J22" s="287" t="s">
        <v>20</v>
      </c>
      <c r="K22" s="287" t="s">
        <v>198</v>
      </c>
      <c r="L22" s="287" t="s">
        <v>21</v>
      </c>
    </row>
    <row r="23" spans="1:12" s="16" customFormat="1" ht="18" customHeight="1" x14ac:dyDescent="0.2">
      <c r="A23" s="93"/>
      <c r="B23" s="94" t="s">
        <v>191</v>
      </c>
      <c r="C23" s="388">
        <f>$E$16</f>
        <v>0</v>
      </c>
      <c r="D23" s="96"/>
      <c r="E23" s="97"/>
      <c r="F23" s="79"/>
      <c r="G23" s="79"/>
      <c r="H23" s="97"/>
      <c r="I23" s="97"/>
      <c r="J23" s="98"/>
      <c r="K23" s="98"/>
      <c r="L23" s="99"/>
    </row>
    <row r="24" spans="1:12" s="16" customFormat="1" ht="18" customHeight="1" x14ac:dyDescent="0.2">
      <c r="A24" s="21" t="s">
        <v>105</v>
      </c>
      <c r="B24" s="9"/>
      <c r="C24" s="62"/>
      <c r="D24" s="62"/>
      <c r="E24" s="61"/>
      <c r="F24" s="61"/>
      <c r="G24" s="61"/>
      <c r="H24" s="385"/>
      <c r="I24" s="316">
        <f t="shared" ref="I24:I29" si="0">DATE(YEAR(H24),(MONTH(H24)+J24),DAY(H24))</f>
        <v>0</v>
      </c>
      <c r="J24" s="41"/>
      <c r="K24" s="41"/>
      <c r="L24" s="41"/>
    </row>
    <row r="25" spans="1:12" s="16" customFormat="1" ht="18" customHeight="1" x14ac:dyDescent="0.2">
      <c r="A25" s="21" t="s">
        <v>106</v>
      </c>
      <c r="B25" s="9"/>
      <c r="C25" s="62"/>
      <c r="D25" s="74"/>
      <c r="E25" s="74"/>
      <c r="F25" s="74"/>
      <c r="G25" s="74"/>
      <c r="H25" s="385"/>
      <c r="I25" s="316">
        <f t="shared" si="0"/>
        <v>0</v>
      </c>
      <c r="J25" s="41"/>
      <c r="K25" s="41"/>
      <c r="L25" s="41"/>
    </row>
    <row r="26" spans="1:12" s="16" customFormat="1" ht="18" customHeight="1" x14ac:dyDescent="0.2">
      <c r="A26" s="21" t="s">
        <v>107</v>
      </c>
      <c r="B26" s="9"/>
      <c r="C26" s="62"/>
      <c r="D26" s="74"/>
      <c r="E26" s="74"/>
      <c r="F26" s="74"/>
      <c r="G26" s="74"/>
      <c r="H26" s="385"/>
      <c r="I26" s="316">
        <f t="shared" si="0"/>
        <v>0</v>
      </c>
      <c r="J26" s="41"/>
      <c r="K26" s="41"/>
      <c r="L26" s="41"/>
    </row>
    <row r="27" spans="1:12" s="16" customFormat="1" ht="18" customHeight="1" x14ac:dyDescent="0.2">
      <c r="A27" s="21" t="s">
        <v>108</v>
      </c>
      <c r="B27" s="9"/>
      <c r="C27" s="389"/>
      <c r="D27" s="74"/>
      <c r="E27" s="74"/>
      <c r="F27" s="74"/>
      <c r="G27" s="74"/>
      <c r="H27" s="386"/>
      <c r="I27" s="316">
        <f t="shared" si="0"/>
        <v>0</v>
      </c>
      <c r="J27" s="41"/>
      <c r="K27" s="41"/>
      <c r="L27" s="41"/>
    </row>
    <row r="28" spans="1:12" s="16" customFormat="1" ht="18" customHeight="1" x14ac:dyDescent="0.2">
      <c r="A28" s="21" t="s">
        <v>109</v>
      </c>
      <c r="B28" s="9"/>
      <c r="C28" s="389"/>
      <c r="D28" s="74"/>
      <c r="E28" s="74"/>
      <c r="F28" s="74"/>
      <c r="G28" s="74"/>
      <c r="H28" s="386"/>
      <c r="I28" s="316">
        <f t="shared" si="0"/>
        <v>0</v>
      </c>
      <c r="J28" s="41"/>
      <c r="K28" s="41"/>
      <c r="L28" s="317"/>
    </row>
    <row r="29" spans="1:12" s="16" customFormat="1" ht="18" customHeight="1" thickBot="1" x14ac:dyDescent="0.25">
      <c r="A29" s="19" t="s">
        <v>110</v>
      </c>
      <c r="B29" s="9"/>
      <c r="C29" s="390"/>
      <c r="D29" s="74"/>
      <c r="E29" s="74"/>
      <c r="F29" s="74"/>
      <c r="G29" s="74"/>
      <c r="H29" s="386"/>
      <c r="I29" s="316">
        <f t="shared" si="0"/>
        <v>0</v>
      </c>
      <c r="J29" s="41"/>
      <c r="K29" s="41"/>
      <c r="L29" s="317"/>
    </row>
    <row r="30" spans="1:12" s="16" customFormat="1" ht="24.95" customHeight="1" thickBot="1" x14ac:dyDescent="0.25">
      <c r="A30" s="39"/>
      <c r="B30" s="38" t="s">
        <v>111</v>
      </c>
      <c r="C30" s="387">
        <f>SUM(C23:C29)</f>
        <v>0</v>
      </c>
      <c r="D30" s="387">
        <f>SUM(D24:D29)</f>
        <v>0</v>
      </c>
      <c r="E30" s="387">
        <f>SUM(E24:E29)</f>
        <v>0</v>
      </c>
      <c r="F30" s="387">
        <f>SUM(F24:F29)</f>
        <v>0</v>
      </c>
      <c r="G30" s="387">
        <f>SUM(G24:G29)</f>
        <v>0</v>
      </c>
      <c r="K30" s="26"/>
      <c r="L30" s="26"/>
    </row>
    <row r="31" spans="1:12" s="37" customFormat="1" ht="18.75" customHeigh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customFormat="1" ht="15" hidden="1" x14ac:dyDescent="0.2"/>
    <row r="33" spans="1:19" customFormat="1" ht="15" hidden="1" x14ac:dyDescent="0.2">
      <c r="A33" s="36"/>
      <c r="B33" s="28"/>
      <c r="C33" s="35"/>
      <c r="D33" s="16"/>
      <c r="E33" s="15"/>
      <c r="F33" s="15"/>
      <c r="G33" s="34"/>
      <c r="H33" s="16"/>
      <c r="I33" s="16"/>
      <c r="J33" s="15"/>
      <c r="K33" s="16"/>
      <c r="L33" s="16"/>
    </row>
    <row r="34" spans="1:19" s="16" customFormat="1" ht="24" customHeight="1" x14ac:dyDescent="0.2">
      <c r="A34" s="415" t="s">
        <v>28</v>
      </c>
      <c r="B34" s="417"/>
      <c r="C34" s="418"/>
      <c r="D34" s="418"/>
      <c r="E34" s="418"/>
      <c r="F34" s="418"/>
      <c r="G34" s="418"/>
      <c r="H34" s="418"/>
      <c r="I34" s="418"/>
      <c r="J34" s="418"/>
      <c r="K34" s="418"/>
      <c r="L34" s="419"/>
      <c r="M34" s="420"/>
      <c r="N34" s="15"/>
      <c r="O34" s="15"/>
      <c r="P34" s="15"/>
      <c r="Q34" s="15"/>
      <c r="R34" s="15"/>
    </row>
    <row r="35" spans="1:19" s="16" customFormat="1" ht="24" customHeight="1" x14ac:dyDescent="0.2">
      <c r="A35" s="416"/>
      <c r="B35" s="421"/>
      <c r="C35" s="422"/>
      <c r="D35" s="422"/>
      <c r="E35" s="422"/>
      <c r="F35" s="422"/>
      <c r="G35" s="422"/>
      <c r="H35" s="422"/>
      <c r="I35" s="422"/>
      <c r="J35" s="422"/>
      <c r="K35" s="422"/>
      <c r="L35" s="423"/>
      <c r="M35" s="424"/>
      <c r="N35" s="101"/>
      <c r="O35" s="20"/>
      <c r="P35" s="20"/>
      <c r="Q35" s="15"/>
      <c r="R35" s="15"/>
    </row>
    <row r="36" spans="1:19" s="16" customFormat="1" ht="18.75" hidden="1" customHeight="1" x14ac:dyDescent="0.2">
      <c r="A36" s="60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00"/>
      <c r="N36" s="101"/>
      <c r="O36" s="20"/>
      <c r="P36" s="20"/>
      <c r="Q36" s="15"/>
      <c r="R36" s="15"/>
    </row>
    <row r="37" spans="1:19" s="16" customFormat="1" ht="18.75" customHeight="1" x14ac:dyDescent="0.2">
      <c r="A37" s="3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5"/>
      <c r="O37" s="15"/>
      <c r="P37" s="15"/>
      <c r="Q37" s="15"/>
      <c r="R37" s="15"/>
    </row>
    <row r="38" spans="1:19" s="20" customFormat="1" ht="23.1" customHeight="1" x14ac:dyDescent="0.2">
      <c r="A38" s="25" t="s">
        <v>29</v>
      </c>
      <c r="B38" s="290"/>
      <c r="C38" s="291"/>
      <c r="D38" s="291"/>
      <c r="E38" s="291"/>
      <c r="F38" s="291"/>
      <c r="G38" s="292"/>
      <c r="H38" s="403" t="s">
        <v>30</v>
      </c>
      <c r="I38" s="404"/>
      <c r="J38" s="405"/>
      <c r="K38" s="292"/>
      <c r="L38" s="37"/>
      <c r="M38" s="1"/>
      <c r="N38" s="1"/>
      <c r="O38" s="15"/>
      <c r="P38" s="15"/>
      <c r="Q38" s="15"/>
      <c r="R38" s="15"/>
    </row>
    <row r="39" spans="1:19" s="16" customFormat="1" ht="81" customHeight="1" x14ac:dyDescent="0.2">
      <c r="A39" s="413" t="s">
        <v>199</v>
      </c>
      <c r="B39" s="414"/>
      <c r="C39" s="287" t="s">
        <v>31</v>
      </c>
      <c r="D39" s="287" t="s">
        <v>200</v>
      </c>
      <c r="E39" s="293" t="s">
        <v>32</v>
      </c>
      <c r="F39" s="294" t="s">
        <v>33</v>
      </c>
      <c r="G39" s="95" t="s">
        <v>201</v>
      </c>
      <c r="H39" s="95" t="s">
        <v>202</v>
      </c>
      <c r="I39" s="95" t="s">
        <v>203</v>
      </c>
      <c r="J39" s="95" t="s">
        <v>207</v>
      </c>
      <c r="K39" s="295" t="s">
        <v>204</v>
      </c>
      <c r="L39" s="296" t="s">
        <v>34</v>
      </c>
      <c r="M39" s="295" t="s">
        <v>226</v>
      </c>
      <c r="N39" s="132"/>
      <c r="P39" s="68" t="s">
        <v>125</v>
      </c>
      <c r="Q39" s="68" t="s">
        <v>125</v>
      </c>
      <c r="R39" s="68" t="s">
        <v>126</v>
      </c>
      <c r="S39" s="68" t="s">
        <v>127</v>
      </c>
    </row>
    <row r="40" spans="1:19" s="16" customFormat="1" ht="15" x14ac:dyDescent="0.2">
      <c r="A40" s="133"/>
      <c r="B40" s="134" t="s">
        <v>104</v>
      </c>
      <c r="C40" s="299">
        <f>IF($E$47-(E7*0.4)&lt;100000,E40,IF((E7*0.4)&lt;MIN(E16,E93:E97),ROUND(E7*0.4,0),MIN(E16,E93:E97)))</f>
        <v>0</v>
      </c>
      <c r="D40" s="299">
        <f t="shared" ref="D40:D47" si="1">E40-C40</f>
        <v>0</v>
      </c>
      <c r="E40" s="300">
        <f>IF(MAX(E$93:E$97)&lt;E16,MAX(E$93:E$97),(E16))</f>
        <v>0</v>
      </c>
      <c r="F40" s="377" t="str">
        <f t="shared" ref="F40:F46" si="2">IF(E$7=0,"",E40/E$7)</f>
        <v/>
      </c>
      <c r="G40" s="136"/>
      <c r="H40" s="266"/>
      <c r="I40" s="266"/>
      <c r="J40" s="266"/>
      <c r="K40" s="137"/>
      <c r="L40" s="138"/>
      <c r="M40" s="139"/>
      <c r="N40" s="132"/>
      <c r="P40" s="104"/>
      <c r="Q40" s="104"/>
      <c r="R40" s="104"/>
      <c r="S40" s="113"/>
    </row>
    <row r="41" spans="1:19" s="16" customFormat="1" ht="14.25" customHeight="1" x14ac:dyDescent="0.2">
      <c r="A41" s="297" t="s">
        <v>22</v>
      </c>
      <c r="B41" s="298">
        <f>$B$24</f>
        <v>0</v>
      </c>
      <c r="C41" s="299">
        <f t="shared" ref="C41:C46" si="3">IF(($C$47-$C$40)&gt;0,ROUND(E41/($E$47-$E$40)*($C$47-$C$40),0),0)</f>
        <v>0</v>
      </c>
      <c r="D41" s="299">
        <f t="shared" si="1"/>
        <v>0</v>
      </c>
      <c r="E41" s="300">
        <f t="shared" ref="E41:E46" si="4">IF($E$47-$E$40=0,0,ROUND(C24/($C$30-$C$23)*($E$47-$E$40),0))</f>
        <v>0</v>
      </c>
      <c r="F41" s="377" t="str">
        <f t="shared" si="2"/>
        <v/>
      </c>
      <c r="G41" s="299">
        <f>$H$54</f>
        <v>0</v>
      </c>
      <c r="H41" s="301" t="s">
        <v>35</v>
      </c>
      <c r="I41" s="301" t="s">
        <v>35</v>
      </c>
      <c r="J41" s="301" t="s">
        <v>35</v>
      </c>
      <c r="K41" s="302" t="str">
        <f t="shared" ref="K41:K46" si="5">IF($E$7=0,"",(G41+N(H41)+N(I41)+N(J41))/$E$7)</f>
        <v/>
      </c>
      <c r="L41" s="303"/>
      <c r="M41" s="299">
        <f t="shared" ref="M41:M46" si="6">N(D24)+N(E24)+N(F24)+N(G24)-N(G41)-N(H41)-N(I41)-N(J41)</f>
        <v>0</v>
      </c>
      <c r="N41" s="132"/>
      <c r="P41" s="69">
        <f>IF(J24&lt;72,J24,72)</f>
        <v>0</v>
      </c>
      <c r="Q41" s="69">
        <f>IF(J24&lt;72,J24,72)</f>
        <v>0</v>
      </c>
      <c r="R41" s="69">
        <f t="shared" ref="R41:R46" si="7">K24</f>
        <v>0</v>
      </c>
      <c r="S41" s="114" t="s">
        <v>35</v>
      </c>
    </row>
    <row r="42" spans="1:19" s="16" customFormat="1" ht="14.25" customHeight="1" x14ac:dyDescent="0.2">
      <c r="A42" s="297" t="s">
        <v>23</v>
      </c>
      <c r="B42" s="298">
        <f>$B$25</f>
        <v>0</v>
      </c>
      <c r="C42" s="299">
        <f t="shared" si="3"/>
        <v>0</v>
      </c>
      <c r="D42" s="299">
        <f t="shared" si="1"/>
        <v>0</v>
      </c>
      <c r="E42" s="300">
        <f t="shared" si="4"/>
        <v>0</v>
      </c>
      <c r="F42" s="377" t="str">
        <f t="shared" si="2"/>
        <v/>
      </c>
      <c r="G42" s="299">
        <f>$H$56</f>
        <v>0</v>
      </c>
      <c r="H42" s="299" t="str">
        <f>IF($E$30=0,"",ROUND((E25*H$47/$E$30),0))</f>
        <v/>
      </c>
      <c r="I42" s="299" t="str">
        <f>IF(OR(A$68=1,$F$30=0),"",ROUND((F25*I$47/$F$30),0))</f>
        <v/>
      </c>
      <c r="J42" s="299" t="str">
        <f>IF($G$30=0,"",ROUND((G25*J$47/$G$30),0))</f>
        <v/>
      </c>
      <c r="K42" s="302" t="str">
        <f t="shared" si="5"/>
        <v/>
      </c>
      <c r="L42" s="304"/>
      <c r="M42" s="299">
        <f t="shared" si="6"/>
        <v>0</v>
      </c>
      <c r="N42" s="132"/>
      <c r="P42" s="70">
        <f>IF($J25=0,0,IF($J25&lt;$F56,$J25,$F$56))</f>
        <v>0</v>
      </c>
      <c r="Q42" s="70">
        <f>IF(J25=0,0,IF(J25&lt;F56,J25,F56))</f>
        <v>0</v>
      </c>
      <c r="R42" s="70">
        <f t="shared" si="7"/>
        <v>0</v>
      </c>
      <c r="S42" s="115">
        <f>IF(H25&gt;DATE(YEAR(H24),MONTH(H24)+R41,DAY(H24)),H25,DATE(YEAR(H24),MONTH(H24)+R41,DAY(H24)))</f>
        <v>0</v>
      </c>
    </row>
    <row r="43" spans="1:19" s="16" customFormat="1" ht="14.25" customHeight="1" x14ac:dyDescent="0.2">
      <c r="A43" s="297" t="s">
        <v>24</v>
      </c>
      <c r="B43" s="298">
        <f>B26</f>
        <v>0</v>
      </c>
      <c r="C43" s="299">
        <f t="shared" si="3"/>
        <v>0</v>
      </c>
      <c r="D43" s="299">
        <f t="shared" si="1"/>
        <v>0</v>
      </c>
      <c r="E43" s="300">
        <f t="shared" si="4"/>
        <v>0</v>
      </c>
      <c r="F43" s="377" t="str">
        <f t="shared" si="2"/>
        <v/>
      </c>
      <c r="G43" s="299">
        <f>$H$58</f>
        <v>0</v>
      </c>
      <c r="H43" s="299" t="str">
        <f>IF($E$30=0,"",ROUND((E26*H$47/$E$30),0))</f>
        <v/>
      </c>
      <c r="I43" s="299" t="str">
        <f>IF(OR(A$68=1,$F$30=0),"",ROUND((F26*I$47/$F$30),0))</f>
        <v/>
      </c>
      <c r="J43" s="299" t="str">
        <f>IF($G$30=0,"",ROUND((G26*J$47/$G$30),0))</f>
        <v/>
      </c>
      <c r="K43" s="302" t="str">
        <f t="shared" si="5"/>
        <v/>
      </c>
      <c r="L43" s="304"/>
      <c r="M43" s="299">
        <f t="shared" si="6"/>
        <v>0</v>
      </c>
      <c r="N43" s="132"/>
      <c r="P43" s="70">
        <f>IF($J26=0,0,IF($J26&lt;$F58,$J26,$F$58))</f>
        <v>0</v>
      </c>
      <c r="Q43" s="70">
        <f>IF(J26=0,0,IF(J26&lt;F58,J26,F58))</f>
        <v>0</v>
      </c>
      <c r="R43" s="70">
        <f t="shared" si="7"/>
        <v>0</v>
      </c>
      <c r="S43" s="115">
        <f>IF(H26&gt;DATE(YEAR(H24),MONTH(H24)+R41+R42,DAY(H24)),H26,DATE(YEAR(H24),MONTH(H24)+R41+R42,DAY(H24)))</f>
        <v>0</v>
      </c>
    </row>
    <row r="44" spans="1:19" s="16" customFormat="1" ht="14.25" customHeight="1" x14ac:dyDescent="0.2">
      <c r="A44" s="297" t="s">
        <v>25</v>
      </c>
      <c r="B44" s="298">
        <f>$B$27</f>
        <v>0</v>
      </c>
      <c r="C44" s="299">
        <f t="shared" si="3"/>
        <v>0</v>
      </c>
      <c r="D44" s="299">
        <f t="shared" si="1"/>
        <v>0</v>
      </c>
      <c r="E44" s="300">
        <f t="shared" si="4"/>
        <v>0</v>
      </c>
      <c r="F44" s="377" t="str">
        <f t="shared" si="2"/>
        <v/>
      </c>
      <c r="G44" s="299">
        <f>$H$60</f>
        <v>0</v>
      </c>
      <c r="H44" s="299" t="str">
        <f>IF($E$30=0,"",ROUND((E27*H$47/$E$30),0))</f>
        <v/>
      </c>
      <c r="I44" s="299" t="str">
        <f>IF(OR(A$68=1,$F$30=0),"",ROUND((F27*I$47/$F$30),0))</f>
        <v/>
      </c>
      <c r="J44" s="299" t="str">
        <f>IF($G$30=0,"",ROUND((G27*J$47/$G$30),0))</f>
        <v/>
      </c>
      <c r="K44" s="302" t="str">
        <f t="shared" si="5"/>
        <v/>
      </c>
      <c r="L44" s="304"/>
      <c r="M44" s="299">
        <f t="shared" si="6"/>
        <v>0</v>
      </c>
      <c r="N44" s="132"/>
      <c r="P44" s="70">
        <f>IF($K27=0,0,IF($K27&lt;$F60,$K27,$F$60))</f>
        <v>0</v>
      </c>
      <c r="Q44" s="70">
        <f>IF(J27=0,0,IF(J27&lt;F60,J27,F60))</f>
        <v>0</v>
      </c>
      <c r="R44" s="70">
        <f t="shared" si="7"/>
        <v>0</v>
      </c>
      <c r="S44" s="115">
        <f>IF(H27&gt;DATE(YEAR(H24),MONTH(H24)+R41+R42+R43,DAY(H24)),H27,DATE(YEAR(H24),MONTH(H24)+R41+R42+R43,DAY(H24)))</f>
        <v>0</v>
      </c>
    </row>
    <row r="45" spans="1:19" s="16" customFormat="1" ht="14.25" customHeight="1" x14ac:dyDescent="0.2">
      <c r="A45" s="297" t="s">
        <v>26</v>
      </c>
      <c r="B45" s="298">
        <f>$B$28</f>
        <v>0</v>
      </c>
      <c r="C45" s="299">
        <f t="shared" si="3"/>
        <v>0</v>
      </c>
      <c r="D45" s="299">
        <f t="shared" si="1"/>
        <v>0</v>
      </c>
      <c r="E45" s="300">
        <f t="shared" si="4"/>
        <v>0</v>
      </c>
      <c r="F45" s="377" t="str">
        <f t="shared" si="2"/>
        <v/>
      </c>
      <c r="G45" s="299">
        <f>$H$62</f>
        <v>0</v>
      </c>
      <c r="H45" s="299" t="str">
        <f>IF($E$30=0,"",ROUND((E28*H$47/$E$30),0))</f>
        <v/>
      </c>
      <c r="I45" s="299" t="str">
        <f>IF(OR(A$68=1,$F$30=0),"",ROUND((F28*I$47/$F$30),0))</f>
        <v/>
      </c>
      <c r="J45" s="299" t="str">
        <f>IF($G$30=0,"",ROUND((G28*J$47/$G$30),0))</f>
        <v/>
      </c>
      <c r="K45" s="302" t="str">
        <f t="shared" si="5"/>
        <v/>
      </c>
      <c r="L45" s="304"/>
      <c r="M45" s="299">
        <f t="shared" si="6"/>
        <v>0</v>
      </c>
      <c r="N45" s="132"/>
      <c r="P45" s="70">
        <f>IF($K28=0,0,IF($K28&lt;$F62,$K28,$F$62))</f>
        <v>0</v>
      </c>
      <c r="Q45" s="70">
        <f>IF(J28=0,0,IF(J28&lt;F62,J28,F62))</f>
        <v>0</v>
      </c>
      <c r="R45" s="70">
        <f t="shared" si="7"/>
        <v>0</v>
      </c>
      <c r="S45" s="115">
        <f>IF(H28&gt;DATE(YEAR(H24),MONTH(H24)+R41+R42+R43+R44,DAY(H24)),H28,DATE(YEAR(H24),MONTH(H24)+R41+R42+R43+R44,DAY(H24)))</f>
        <v>0</v>
      </c>
    </row>
    <row r="46" spans="1:19" s="16" customFormat="1" ht="14.25" customHeight="1" thickBot="1" x14ac:dyDescent="0.25">
      <c r="A46" s="68" t="s">
        <v>27</v>
      </c>
      <c r="B46" s="305">
        <f>$B$29</f>
        <v>0</v>
      </c>
      <c r="C46" s="306">
        <f t="shared" si="3"/>
        <v>0</v>
      </c>
      <c r="D46" s="306">
        <f t="shared" si="1"/>
        <v>0</v>
      </c>
      <c r="E46" s="307">
        <f t="shared" si="4"/>
        <v>0</v>
      </c>
      <c r="F46" s="377" t="str">
        <f t="shared" si="2"/>
        <v/>
      </c>
      <c r="G46" s="299">
        <f>$H$64</f>
        <v>0</v>
      </c>
      <c r="H46" s="299" t="str">
        <f>IF($E$30=0,"",ROUND((E29*H$47/$E$30),0))</f>
        <v/>
      </c>
      <c r="I46" s="299" t="str">
        <f>IF(OR(A$68=1,$F$30=0),"",ROUND((F29*I$47/$F$30),0))</f>
        <v/>
      </c>
      <c r="J46" s="299" t="str">
        <f>IF($G$30=0,"",ROUND((G29*J$47/$G$30),0))</f>
        <v/>
      </c>
      <c r="K46" s="302" t="str">
        <f t="shared" si="5"/>
        <v/>
      </c>
      <c r="L46" s="308"/>
      <c r="M46" s="299">
        <f t="shared" si="6"/>
        <v>0</v>
      </c>
      <c r="N46" s="132"/>
      <c r="P46" s="70">
        <f>IF($K29=0,0,IF($K29&lt;$F64,$K29,$F$64))</f>
        <v>0</v>
      </c>
      <c r="Q46" s="70">
        <f>IF(J29=0,0,IF(J29&lt;F64,J29,F64))</f>
        <v>0</v>
      </c>
      <c r="R46" s="70">
        <f t="shared" si="7"/>
        <v>0</v>
      </c>
      <c r="S46" s="115">
        <f>IF(H29&gt;DATE(YEAR(H24),MONTH(H24)+R41+R42+R43+R44+R45,DAY(H24)),H29,DATE(YEAR(H24),MONTH(H24)+R41+R42+R43+R44+R45,DAY(H24)))</f>
        <v>0</v>
      </c>
    </row>
    <row r="47" spans="1:19" s="16" customFormat="1" ht="18" customHeight="1" thickBot="1" x14ac:dyDescent="0.25">
      <c r="A47" s="153"/>
      <c r="B47" s="154" t="s">
        <v>129</v>
      </c>
      <c r="C47" s="313">
        <f>IF(E47-(E7*0.4)&lt;100000,E47,IF((E7*0.4)&lt;E47,ROUND(E7*0.4,0),E47))</f>
        <v>0</v>
      </c>
      <c r="D47" s="313">
        <f t="shared" si="1"/>
        <v>0</v>
      </c>
      <c r="E47" s="313">
        <f>IF(MAX(N(B93),N(B95),N(B97))&lt;(C30+IF(E11="Yes",N(E12),0)),MIN(E7*F9,MAX(N(B93)+N(B95)+N(B97)-E40-C48,0),E15)+E40,MIN(MAX(N(H93),N(H95),N(H97)),E15)+E40)</f>
        <v>0</v>
      </c>
      <c r="F47" s="258">
        <f>SUM(F40:F46)</f>
        <v>0</v>
      </c>
      <c r="G47" s="313">
        <f>SUM(G41:G46)</f>
        <v>0</v>
      </c>
      <c r="H47" s="313">
        <f>MIN(E30,SUM(H70:H87))</f>
        <v>0</v>
      </c>
      <c r="I47" s="313">
        <f>MIN(F30,SUM(I70:I72))</f>
        <v>0</v>
      </c>
      <c r="J47" s="313">
        <f>MIN(G30,SUM(J70:J87))</f>
        <v>0</v>
      </c>
      <c r="K47" s="314">
        <f>SUM(K41:K46)</f>
        <v>0</v>
      </c>
      <c r="L47" s="313">
        <f>G47+H47+I47+J47</f>
        <v>0</v>
      </c>
      <c r="M47" s="315">
        <f>SUM(M41:M46)</f>
        <v>0</v>
      </c>
      <c r="N47" s="132"/>
      <c r="P47" s="15"/>
      <c r="Q47" s="15"/>
      <c r="R47" s="15"/>
    </row>
    <row r="48" spans="1:19" s="58" customFormat="1" ht="27.75" customHeight="1" thickBot="1" x14ac:dyDescent="0.25">
      <c r="A48" s="434" t="str">
        <f>IF(L68=1,L69,IF(L68=2,L70,IF(L68=3,L71,IF(L68=4,"Incentive Program",""))))</f>
        <v>Incentive Program</v>
      </c>
      <c r="B48" s="435" t="str">
        <f>IF(L68=1,L70,IF(L68=2,L69,"Mesure incitative"))</f>
        <v>Mesure incitative</v>
      </c>
      <c r="C48" s="306">
        <f>IF(E11="Yes",MIN(MAX(K93:K97),N(E12),E$7*84%-E$40),0)</f>
        <v>0</v>
      </c>
      <c r="D48" s="306">
        <v>0</v>
      </c>
      <c r="E48" s="307">
        <f>C48+D48</f>
        <v>0</v>
      </c>
      <c r="F48" s="259">
        <f>IF(E7=0,0,C48/E7)</f>
        <v>0</v>
      </c>
      <c r="G48" s="158"/>
      <c r="H48" s="159"/>
      <c r="I48" s="356"/>
      <c r="J48" s="160" t="str">
        <f>IF(AND($A$68&gt;1,$A$68&lt;5,G47&gt;0,F30&gt;0,E7&gt;0),"ELF &amp; Distributor MMC / Threshold:","")</f>
        <v/>
      </c>
      <c r="K48" s="357" t="str">
        <f>IF(AND($A$68&gt;1,$A$68&lt;5,G47&gt;0,F30&gt;0,E7&gt;0),SUM(G47,N(H47))/SUM(N(D70),N(D71),N(D72)),"")</f>
        <v/>
      </c>
      <c r="L48" s="162"/>
      <c r="M48" s="163"/>
      <c r="N48" s="164"/>
      <c r="O48" s="59"/>
      <c r="P48" s="59"/>
      <c r="Q48" s="59"/>
      <c r="R48" s="59"/>
    </row>
    <row r="49" spans="1:14" s="58" customFormat="1" ht="18" customHeight="1" thickBot="1" x14ac:dyDescent="0.25">
      <c r="A49" s="153"/>
      <c r="B49" s="154" t="s">
        <v>130</v>
      </c>
      <c r="C49" s="313">
        <f>+C47+C48</f>
        <v>0</v>
      </c>
      <c r="D49" s="313">
        <f>+D47+D48</f>
        <v>0</v>
      </c>
      <c r="E49" s="313">
        <f>+E47+E48</f>
        <v>0</v>
      </c>
      <c r="F49" s="258">
        <f>SUM(F47:F48)</f>
        <v>0</v>
      </c>
      <c r="G49" s="158"/>
      <c r="H49" s="159"/>
      <c r="I49" s="159"/>
      <c r="J49" s="160"/>
      <c r="K49" s="165"/>
      <c r="L49" s="162"/>
      <c r="M49" s="163"/>
      <c r="N49" s="166"/>
    </row>
    <row r="50" spans="1:14" s="16" customFormat="1" ht="18" customHeight="1" x14ac:dyDescent="0.2">
      <c r="A50" s="436" t="s">
        <v>205</v>
      </c>
      <c r="B50" s="437"/>
      <c r="C50" s="437"/>
      <c r="D50" s="437"/>
      <c r="E50" s="437"/>
      <c r="F50" s="64"/>
      <c r="G50" s="64"/>
      <c r="H50" s="64"/>
      <c r="I50" s="64"/>
      <c r="J50" s="64"/>
      <c r="K50" s="64"/>
      <c r="L50" s="64"/>
      <c r="M50" s="15"/>
    </row>
    <row r="51" spans="1:14" s="16" customFormat="1" x14ac:dyDescent="0.2"/>
    <row r="52" spans="1:14" s="16" customFormat="1" ht="15" x14ac:dyDescent="0.2">
      <c r="A52" s="78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/>
      <c r="M52" s="15"/>
    </row>
    <row r="53" spans="1:14" s="16" customFormat="1" ht="23.1" customHeight="1" x14ac:dyDescent="0.2">
      <c r="A53" s="25" t="s">
        <v>37</v>
      </c>
      <c r="B53" s="24"/>
      <c r="C53" s="334"/>
      <c r="D53" s="22"/>
      <c r="E53" s="22"/>
      <c r="F53" s="22"/>
      <c r="G53" s="22"/>
      <c r="H53" s="18"/>
      <c r="I53" s="18"/>
      <c r="J53" s="18"/>
      <c r="K53" s="18"/>
      <c r="L53" s="1"/>
      <c r="M53" s="15"/>
    </row>
    <row r="54" spans="1:14" s="174" customFormat="1" ht="18" customHeight="1" x14ac:dyDescent="0.2">
      <c r="A54" s="318" t="s">
        <v>22</v>
      </c>
      <c r="B54" s="322">
        <f>D24</f>
        <v>0</v>
      </c>
      <c r="C54" s="323" t="s">
        <v>38</v>
      </c>
      <c r="D54" s="324">
        <f>J24</f>
        <v>0</v>
      </c>
      <c r="E54" s="323" t="s">
        <v>39</v>
      </c>
      <c r="F54" s="324">
        <f>72</f>
        <v>72</v>
      </c>
      <c r="G54" s="323" t="s">
        <v>40</v>
      </c>
      <c r="H54" s="322">
        <f>IF(J24&lt;72,B54,(B54/D54)*F54)</f>
        <v>0</v>
      </c>
      <c r="I54" s="438" t="s">
        <v>41</v>
      </c>
      <c r="J54" s="438"/>
      <c r="K54" s="330">
        <f>DATE(YEAR(H24),MONTH(H24)+72,DAY(H24))</f>
        <v>2192</v>
      </c>
      <c r="L54" s="132"/>
      <c r="M54" s="173"/>
    </row>
    <row r="55" spans="1:14" s="181" customFormat="1" ht="25.5" customHeight="1" x14ac:dyDescent="0.2">
      <c r="A55" s="319"/>
      <c r="B55" s="193" t="s">
        <v>42</v>
      </c>
      <c r="C55" s="194"/>
      <c r="D55" s="325" t="s">
        <v>43</v>
      </c>
      <c r="E55" s="194"/>
      <c r="F55" s="192" t="s">
        <v>44</v>
      </c>
      <c r="G55" s="194"/>
      <c r="H55" s="193" t="s">
        <v>45</v>
      </c>
      <c r="I55" s="195"/>
      <c r="J55" s="195"/>
      <c r="K55" s="331"/>
      <c r="L55" s="132"/>
      <c r="M55" s="83"/>
    </row>
    <row r="56" spans="1:14" s="174" customFormat="1" ht="18" customHeight="1" x14ac:dyDescent="0.2">
      <c r="A56" s="318" t="s">
        <v>23</v>
      </c>
      <c r="B56" s="322">
        <f>D25</f>
        <v>0</v>
      </c>
      <c r="C56" s="323" t="s">
        <v>38</v>
      </c>
      <c r="D56" s="324">
        <f>J25</f>
        <v>0</v>
      </c>
      <c r="E56" s="323" t="s">
        <v>39</v>
      </c>
      <c r="F56" s="326">
        <f>IF((YEAR(K54)-YEAR(S42))*12+MONTH(K54)-MONTH(S42)&lt;0,0,(YEAR(K54)-YEAR(S42))*12+MONTH(K54)-MONTH(S42))</f>
        <v>71</v>
      </c>
      <c r="G56" s="323" t="s">
        <v>40</v>
      </c>
      <c r="H56" s="322">
        <f>IF(D25=0,0,IF(D56&lt;F56,B56,(B56/D56)*F56))</f>
        <v>0</v>
      </c>
      <c r="I56" s="328"/>
      <c r="J56" s="328"/>
      <c r="K56" s="332"/>
      <c r="L56" s="132"/>
      <c r="M56" s="173"/>
    </row>
    <row r="57" spans="1:14" s="181" customFormat="1" ht="25.5" customHeight="1" x14ac:dyDescent="0.2">
      <c r="A57" s="320"/>
      <c r="B57" s="193" t="s">
        <v>42</v>
      </c>
      <c r="C57" s="327"/>
      <c r="D57" s="325" t="s">
        <v>43</v>
      </c>
      <c r="E57" s="327"/>
      <c r="F57" s="192" t="s">
        <v>44</v>
      </c>
      <c r="G57" s="194"/>
      <c r="H57" s="193" t="s">
        <v>45</v>
      </c>
      <c r="I57" s="195"/>
      <c r="J57" s="195"/>
      <c r="K57" s="331"/>
      <c r="L57" s="132"/>
      <c r="M57" s="83"/>
    </row>
    <row r="58" spans="1:14" s="174" customFormat="1" ht="18" customHeight="1" x14ac:dyDescent="0.2">
      <c r="A58" s="318" t="s">
        <v>24</v>
      </c>
      <c r="B58" s="322">
        <f>D26</f>
        <v>0</v>
      </c>
      <c r="C58" s="323" t="s">
        <v>38</v>
      </c>
      <c r="D58" s="324">
        <f>J26</f>
        <v>0</v>
      </c>
      <c r="E58" s="323" t="s">
        <v>39</v>
      </c>
      <c r="F58" s="326">
        <f>IF((YEAR(K54)-YEAR(S43))*12+MONTH(K54)-MONTH(S43)&lt;0,0,(YEAR(K54)-YEAR(S43))*12+MONTH(K54)-MONTH(S43))</f>
        <v>71</v>
      </c>
      <c r="G58" s="323" t="s">
        <v>40</v>
      </c>
      <c r="H58" s="322">
        <f>IF(D26=0,0,IF(D58&lt;F58,B58,(B58/D58)*F58))</f>
        <v>0</v>
      </c>
      <c r="I58" s="328"/>
      <c r="J58" s="328"/>
      <c r="K58" s="332"/>
      <c r="L58" s="132"/>
      <c r="M58" s="173"/>
    </row>
    <row r="59" spans="1:14" s="181" customFormat="1" ht="25.5" customHeight="1" x14ac:dyDescent="0.2">
      <c r="A59" s="321"/>
      <c r="B59" s="193" t="s">
        <v>42</v>
      </c>
      <c r="C59" s="327"/>
      <c r="D59" s="325" t="s">
        <v>43</v>
      </c>
      <c r="E59" s="327"/>
      <c r="F59" s="192" t="s">
        <v>44</v>
      </c>
      <c r="G59" s="194"/>
      <c r="H59" s="193" t="s">
        <v>45</v>
      </c>
      <c r="I59" s="195"/>
      <c r="J59" s="195"/>
      <c r="K59" s="331"/>
      <c r="L59" s="132"/>
      <c r="M59" s="83"/>
    </row>
    <row r="60" spans="1:14" s="174" customFormat="1" ht="18" customHeight="1" x14ac:dyDescent="0.2">
      <c r="A60" s="318" t="s">
        <v>25</v>
      </c>
      <c r="B60" s="322">
        <f>D27</f>
        <v>0</v>
      </c>
      <c r="C60" s="323" t="s">
        <v>38</v>
      </c>
      <c r="D60" s="326">
        <f>J27</f>
        <v>0</v>
      </c>
      <c r="E60" s="323" t="s">
        <v>39</v>
      </c>
      <c r="F60" s="326">
        <f>IF((YEAR(K54)-YEAR(S44))*12+MONTH(K54)-MONTH(S44)&lt;0,0,(YEAR(K54)-YEAR(S44))*12+MONTH(K54)-MONTH(S44))</f>
        <v>71</v>
      </c>
      <c r="G60" s="323" t="s">
        <v>40</v>
      </c>
      <c r="H60" s="322">
        <f>IF(D27=0,0,IF(D60&lt;F60,B60,(B60/D60)*F60))</f>
        <v>0</v>
      </c>
      <c r="I60" s="328"/>
      <c r="J60" s="328"/>
      <c r="K60" s="332"/>
      <c r="L60" s="132"/>
      <c r="M60" s="173"/>
    </row>
    <row r="61" spans="1:14" s="181" customFormat="1" ht="30.6" customHeight="1" x14ac:dyDescent="0.2">
      <c r="A61" s="319"/>
      <c r="B61" s="193" t="s">
        <v>42</v>
      </c>
      <c r="C61" s="327"/>
      <c r="D61" s="325" t="s">
        <v>43</v>
      </c>
      <c r="E61" s="327"/>
      <c r="F61" s="192" t="s">
        <v>44</v>
      </c>
      <c r="G61" s="194"/>
      <c r="H61" s="193" t="s">
        <v>45</v>
      </c>
      <c r="I61" s="195"/>
      <c r="J61" s="195"/>
      <c r="K61" s="331"/>
      <c r="L61" s="132"/>
      <c r="M61" s="83"/>
    </row>
    <row r="62" spans="1:14" s="174" customFormat="1" ht="18" customHeight="1" x14ac:dyDescent="0.2">
      <c r="A62" s="318" t="s">
        <v>26</v>
      </c>
      <c r="B62" s="322">
        <f>D28</f>
        <v>0</v>
      </c>
      <c r="C62" s="323" t="s">
        <v>38</v>
      </c>
      <c r="D62" s="326">
        <f>J28</f>
        <v>0</v>
      </c>
      <c r="E62" s="323" t="s">
        <v>39</v>
      </c>
      <c r="F62" s="326">
        <f>IF((YEAR(K54)-YEAR(S45))*12+MONTH(K54)-MONTH(S45)&lt;0,0,(YEAR(K54)-YEAR(S45))*12+MONTH(K54)-MONTH(S45))</f>
        <v>71</v>
      </c>
      <c r="G62" s="323" t="s">
        <v>40</v>
      </c>
      <c r="H62" s="322">
        <f>IF(D28=0,0,IF(D62&lt;F62,B62,(B62/D62)*F62))</f>
        <v>0</v>
      </c>
      <c r="I62" s="328"/>
      <c r="J62" s="328"/>
      <c r="K62" s="332"/>
      <c r="L62" s="132"/>
      <c r="M62" s="173"/>
    </row>
    <row r="63" spans="1:14" s="181" customFormat="1" ht="26.45" customHeight="1" x14ac:dyDescent="0.2">
      <c r="A63" s="320"/>
      <c r="B63" s="193" t="s">
        <v>42</v>
      </c>
      <c r="C63" s="327"/>
      <c r="D63" s="325" t="s">
        <v>43</v>
      </c>
      <c r="E63" s="327"/>
      <c r="F63" s="192" t="s">
        <v>44</v>
      </c>
      <c r="G63" s="194"/>
      <c r="H63" s="193" t="s">
        <v>45</v>
      </c>
      <c r="I63" s="195"/>
      <c r="J63" s="195"/>
      <c r="K63" s="331"/>
      <c r="L63" s="132"/>
      <c r="M63" s="83"/>
    </row>
    <row r="64" spans="1:14" s="174" customFormat="1" ht="18" customHeight="1" x14ac:dyDescent="0.2">
      <c r="A64" s="318" t="s">
        <v>27</v>
      </c>
      <c r="B64" s="322">
        <f>D29</f>
        <v>0</v>
      </c>
      <c r="C64" s="323" t="s">
        <v>38</v>
      </c>
      <c r="D64" s="326">
        <f>J29</f>
        <v>0</v>
      </c>
      <c r="E64" s="323" t="s">
        <v>39</v>
      </c>
      <c r="F64" s="326">
        <f>IF((YEAR(K54)-YEAR(S46))*12+MONTH(K54)-MONTH(S46)&lt;0,0,(YEAR(K54)-YEAR(S46))*12+MONTH(K54)-MONTH(S46))</f>
        <v>71</v>
      </c>
      <c r="G64" s="323" t="s">
        <v>40</v>
      </c>
      <c r="H64" s="322">
        <f>IF(D29=0,0,IF(D64&lt;F64,B64,(B64/D64)*F64))</f>
        <v>0</v>
      </c>
      <c r="I64" s="328"/>
      <c r="J64" s="328"/>
      <c r="K64" s="332"/>
      <c r="L64" s="132"/>
      <c r="M64" s="173"/>
    </row>
    <row r="65" spans="1:22" s="181" customFormat="1" ht="26.45" customHeight="1" x14ac:dyDescent="0.2">
      <c r="A65" s="333"/>
      <c r="B65" s="325" t="s">
        <v>42</v>
      </c>
      <c r="C65" s="328"/>
      <c r="D65" s="325" t="s">
        <v>43</v>
      </c>
      <c r="E65" s="328"/>
      <c r="F65" s="325" t="s">
        <v>44</v>
      </c>
      <c r="G65" s="325"/>
      <c r="H65" s="329" t="s">
        <v>45</v>
      </c>
      <c r="I65" s="328"/>
      <c r="J65" s="328"/>
      <c r="K65" s="332"/>
      <c r="L65" s="132"/>
    </row>
    <row r="66" spans="1:22" s="181" customFormat="1" ht="33" customHeight="1" x14ac:dyDescent="0.2">
      <c r="A66" s="192"/>
      <c r="B66" s="193"/>
      <c r="C66" s="192"/>
      <c r="D66" s="192"/>
      <c r="E66" s="194"/>
      <c r="F66" s="194"/>
      <c r="G66" s="192"/>
      <c r="H66" s="194"/>
      <c r="I66" s="194"/>
      <c r="J66" s="193"/>
      <c r="K66" s="195"/>
      <c r="L66" s="132"/>
    </row>
    <row r="67" spans="1:22" s="181" customFormat="1" ht="23.1" customHeight="1" x14ac:dyDescent="0.2">
      <c r="A67" s="335" t="s">
        <v>46</v>
      </c>
      <c r="B67" s="336"/>
      <c r="C67" s="336"/>
      <c r="D67" s="267"/>
      <c r="E67" s="267"/>
      <c r="F67" s="267"/>
      <c r="G67" s="267"/>
      <c r="H67" s="439" t="s">
        <v>206</v>
      </c>
      <c r="I67" s="439"/>
      <c r="J67" s="439"/>
      <c r="K67" s="267"/>
      <c r="L67" s="267"/>
    </row>
    <row r="68" spans="1:22" s="181" customFormat="1" ht="57.75" customHeight="1" x14ac:dyDescent="0.2">
      <c r="A68" s="273">
        <v>20</v>
      </c>
      <c r="B68" s="337" t="s">
        <v>47</v>
      </c>
      <c r="C68" s="284" t="s">
        <v>48</v>
      </c>
      <c r="D68" s="284" t="s">
        <v>49</v>
      </c>
      <c r="E68" s="440" t="s">
        <v>50</v>
      </c>
      <c r="F68" s="441"/>
      <c r="G68" s="284" t="s">
        <v>51</v>
      </c>
      <c r="H68" s="338" t="s">
        <v>234</v>
      </c>
      <c r="I68" s="338" t="s">
        <v>235</v>
      </c>
      <c r="J68" s="268" t="s">
        <v>236</v>
      </c>
      <c r="K68" s="274"/>
      <c r="L68" s="378">
        <v>4</v>
      </c>
    </row>
    <row r="69" spans="1:22" s="181" customFormat="1" ht="24.95" customHeight="1" x14ac:dyDescent="0.2">
      <c r="A69" s="355"/>
      <c r="B69" s="351" t="s">
        <v>52</v>
      </c>
      <c r="C69" s="350"/>
      <c r="D69" s="358"/>
      <c r="E69" s="359"/>
      <c r="F69" s="360"/>
      <c r="G69" s="359"/>
      <c r="H69" s="359"/>
      <c r="I69" s="361"/>
      <c r="J69" s="374"/>
      <c r="K69" s="275" t="s">
        <v>10</v>
      </c>
      <c r="L69" s="276" t="s">
        <v>62</v>
      </c>
      <c r="M69" s="83"/>
    </row>
    <row r="70" spans="1:22" s="181" customFormat="1" ht="35.1" customHeight="1" x14ac:dyDescent="0.2">
      <c r="A70" s="355"/>
      <c r="B70" s="375" t="s">
        <v>210</v>
      </c>
      <c r="C70" s="5" t="s">
        <v>211</v>
      </c>
      <c r="D70" s="362" t="str">
        <f>IF(A$68=2,MIN(ROUND(10%*$E$7,0),ROUND(130000*L$7,0)),"N/A")</f>
        <v>N/A</v>
      </c>
      <c r="E70" s="363" t="str">
        <f>IF(D70="N/A","N/A",
IF(G$47&gt;=D70,"Yes",
IF(G$47+MIN(E$30,MAX(D70-G$47,0))&gt;=D70,"Yes",
IF(AND(G$47+MIN(E$30,MAX(D70-G$47,0))&gt;=75%*D70,
G$47+MIN(E$30+F$30+G$30,MAX(D70-G$47,0))&gt;=D70),"Yes",
IF(AND(G$47+MIN(E$30,MAX(D70-G$47,0))&gt;=51%*D70,
G$47+MIN(E$30+G$30,MAX(D70-G$47,0))&gt;=D70),"Yes","No")))))</f>
        <v>N/A</v>
      </c>
      <c r="F70" s="364"/>
      <c r="G70" s="362" t="str">
        <f>IF(E70="N/A","N/A",G$47+MIN(H$47,E$30)+MIN(I$47,F$30)+MIN(J$47,G$30)-D70)</f>
        <v>N/A</v>
      </c>
      <c r="H70" s="365" t="str">
        <f>IF(E70="N/A","N/A",
IF(AND(E$30&gt;0,G$47&gt;0),MAX(D70-G$47,0),0))</f>
        <v>N/A</v>
      </c>
      <c r="I70" s="365" t="str">
        <f>IF(E70="N/A","N/A",
IF(AND($A$68=2,F$30&gt;0,G$47+H$47&gt;=75%*D70),MAX(ROUND(D70-G$47-H$47,0),0),0))</f>
        <v>N/A</v>
      </c>
      <c r="J70" s="365" t="str">
        <f>IF(E70="N/A","N/A",
IF(AND($A$68=2,G$30&gt;0,G$47+H$47&gt;=51%*D70),MAX(ROUND(D70-G$47-H$47-I$47,0),0),0))</f>
        <v>N/A</v>
      </c>
      <c r="K70" s="274" t="s">
        <v>8</v>
      </c>
      <c r="L70" s="276" t="s">
        <v>64</v>
      </c>
      <c r="M70" s="173"/>
      <c r="N70"/>
      <c r="O70"/>
      <c r="P70"/>
      <c r="Q70"/>
      <c r="R70"/>
      <c r="S70"/>
      <c r="T70"/>
      <c r="U70"/>
      <c r="V70"/>
    </row>
    <row r="71" spans="1:22" s="181" customFormat="1" ht="35.1" customHeight="1" x14ac:dyDescent="0.2">
      <c r="A71" s="355"/>
      <c r="B71" s="375" t="s">
        <v>53</v>
      </c>
      <c r="C71" s="73">
        <v>0.1</v>
      </c>
      <c r="D71" s="362" t="str">
        <f>IF(A$68=3,ROUND(C71*$E$7,0),"N/A")</f>
        <v>N/A</v>
      </c>
      <c r="E71" s="363" t="str">
        <f>IF(D71="N/A","N/A",
IF(G$47&gt;=D71,"Yes",
IF(G$47+MIN(E$30,MAX(D71-G$47,0))&gt;=D71,"Yes",
IF(AND(G$47+MIN(E$30,MAX(D71-G$47,0))&gt;=75%*D71,
G$47+MIN(E$30+F$30+G$30,MAX(D71-G$47,0))&gt;=D71),"Yes",
IF(AND(G$47+MIN(E$30,MAX(D71-G$47,0))&gt;=51%*D71,
G$47+MIN(E$30+G$30,MAX(D71-G$47,0))&gt;=D71),"Yes","No")))))</f>
        <v>N/A</v>
      </c>
      <c r="F71" s="364"/>
      <c r="G71" s="362" t="str">
        <f>IF(E71="N/A","N/A",G$47+MIN(H$47,E$30)+MIN(I$47,F$30)+MIN(J$47,G$30)-D71)</f>
        <v>N/A</v>
      </c>
      <c r="H71" s="365" t="str">
        <f>IF(E71="N/A","N/A",
IF(AND(E$30&gt;0,G$47&gt;0),MAX(D71-G$47,0),0))</f>
        <v>N/A</v>
      </c>
      <c r="I71" s="365" t="str">
        <f>IF(E71="N/A","N/A",
IF(AND($A$68=3,F$30&gt;0,G$47+H$47&gt;=75%*D71),MAX(ROUND(D71-G$47-H$47,0),0),0))</f>
        <v>N/A</v>
      </c>
      <c r="J71" s="365" t="str">
        <f>IF(E71="N/A","N/A",
IF(AND($A$68=3,G$30&gt;0,G$47+H$47&gt;=51%*D71),MAX(ROUND(D71-G$47-H$47-I$47,0),0),0))</f>
        <v>N/A</v>
      </c>
      <c r="K71" s="274"/>
      <c r="L71" s="276" t="s">
        <v>190</v>
      </c>
      <c r="M71" s="173"/>
      <c r="N71"/>
      <c r="O71"/>
      <c r="P71"/>
      <c r="Q71"/>
      <c r="R71"/>
      <c r="S71"/>
      <c r="T71"/>
      <c r="U71"/>
      <c r="V71"/>
    </row>
    <row r="72" spans="1:22" s="181" customFormat="1" ht="35.1" customHeight="1" x14ac:dyDescent="0.2">
      <c r="A72" s="355"/>
      <c r="B72" s="375" t="s">
        <v>54</v>
      </c>
      <c r="C72" s="5" t="s">
        <v>222</v>
      </c>
      <c r="D72" s="362" t="str">
        <f>IF(A$68=4,MIN(ROUND(E$7*5%,0),190000),"N/A")</f>
        <v>N/A</v>
      </c>
      <c r="E72" s="363" t="str">
        <f>IF(D72="N/A","N/A",
IF(G$47&gt;=D72,"Yes",
IF(G$47+MIN(E$30,MAX(D72-G$47,0))&gt;=D72,"Yes",
IF(AND(G$47+MIN(E$30,MAX(D72-G$47,0))&gt;=75%*D72,
G$47+MIN(E$30+F$30+G$30,MAX(D72-G$47,0))&gt;=D72),"Yes",
IF(AND(G$47+MIN(E$30,MAX(D72-G$47,0))&gt;=51%*D72,
G$47+MIN(E$30+G$30,MAX(D72-G$47,0))&gt;=D72),"Yes","No")))))</f>
        <v>N/A</v>
      </c>
      <c r="F72" s="364"/>
      <c r="G72" s="362" t="str">
        <f>IF(E72="N/A","N/A",G$47+MIN(H$47,E$30)+MIN(I$47,F$30)+MIN(J$47,G$30)-D72)</f>
        <v>N/A</v>
      </c>
      <c r="H72" s="365" t="str">
        <f>IF(E72="N/A","N/A",
IF(AND(E$30&gt;0,G$47&gt;0),MAX(D72-G$47,0),0))</f>
        <v>N/A</v>
      </c>
      <c r="I72" s="365" t="str">
        <f>IF(E72="N/A","N/A",
IF(AND($A$68=4,F$30&gt;0,G$47+H$47&gt;=75%*D72),MAX(ROUND(D72-G$47-H$47,0),0),0))</f>
        <v>N/A</v>
      </c>
      <c r="J72" s="365" t="str">
        <f>IF(E72="N/A","N/A",
IF(AND($A$68=4,G$30&gt;0,G$47+H$47&gt;=51%*D72),MAX(ROUND(D72-G$47-H$47-I$47,0),0),0))</f>
        <v>N/A</v>
      </c>
      <c r="K72" s="274"/>
      <c r="L72" s="274"/>
      <c r="M72" s="173"/>
      <c r="N72"/>
      <c r="O72"/>
      <c r="P72"/>
      <c r="Q72"/>
      <c r="R72"/>
      <c r="S72"/>
      <c r="T72"/>
      <c r="U72"/>
      <c r="V72"/>
    </row>
    <row r="73" spans="1:22" s="181" customFormat="1" ht="24.95" customHeight="1" x14ac:dyDescent="0.2">
      <c r="A73" s="355"/>
      <c r="B73" s="201" t="s">
        <v>55</v>
      </c>
      <c r="C73" s="202"/>
      <c r="D73" s="358"/>
      <c r="E73" s="358"/>
      <c r="F73" s="360"/>
      <c r="G73" s="359"/>
      <c r="H73" s="359"/>
      <c r="I73" s="361"/>
      <c r="J73" s="366"/>
      <c r="K73" s="274"/>
      <c r="L73" s="274"/>
      <c r="M73" s="173"/>
      <c r="N73"/>
      <c r="O73"/>
      <c r="P73"/>
      <c r="Q73"/>
      <c r="R73"/>
      <c r="S73"/>
      <c r="T73"/>
      <c r="U73"/>
      <c r="V73"/>
    </row>
    <row r="74" spans="1:22" s="181" customFormat="1" ht="50.1" customHeight="1" x14ac:dyDescent="0.2">
      <c r="A74" s="355"/>
      <c r="B74" s="375" t="s">
        <v>232</v>
      </c>
      <c r="C74" s="5" t="s">
        <v>212</v>
      </c>
      <c r="D74" s="362" t="str">
        <f>IF($A$68=6,MIN(ROUND((10%*E$7),0),ROUND(100000*L$7,0)),"N/A")</f>
        <v>N/A</v>
      </c>
      <c r="E74" s="363" t="str">
        <f>IF(D74="N/A","N/A",
IF(G$47&gt;=D74,"Yes",
IF(G$47+MIN(E$30,MAX(D74-G$47,0))&gt;=D74,"Yes",
IF(AND(G$47+MIN(E$30,MAX(D74-G$47,0))&gt;=51%*D74,
G$47+MIN(E$30+G$30,MAX(D74-G$47,0))&gt;=D74),"Yes","No"))))</f>
        <v>N/A</v>
      </c>
      <c r="F74" s="364"/>
      <c r="G74" s="362" t="str">
        <f>IF(E74="N/A","N/A",G$47+MIN(H$47,E$30)+MIN(I$47,F$30)+MIN(J$47,G$30)-D74)</f>
        <v>N/A</v>
      </c>
      <c r="H74" s="365" t="str">
        <f>IF(E74="N/A","N/A",
IF(AND(E$30&gt;0,G$47&gt;0),MAX(D74-G$47,0),0))</f>
        <v>N/A</v>
      </c>
      <c r="I74" s="367"/>
      <c r="J74" s="365" t="str">
        <f>IF(E74="N/A","N/A",IF(AND($A$68=6,G$30&gt;0,G$47+H$47&gt;=51%*D74),MAX(ROUND(D74-G$47-H$47-I$47,0),0),0))</f>
        <v>N/A</v>
      </c>
      <c r="K74" s="274"/>
      <c r="L74" s="274"/>
      <c r="M74" s="173"/>
      <c r="N74"/>
      <c r="O74"/>
      <c r="P74"/>
      <c r="Q74"/>
      <c r="R74"/>
      <c r="S74"/>
      <c r="T74"/>
      <c r="U74"/>
      <c r="V74"/>
    </row>
    <row r="75" spans="1:22" s="181" customFormat="1" ht="35.1" customHeight="1" x14ac:dyDescent="0.2">
      <c r="A75" s="355"/>
      <c r="B75" s="375" t="s">
        <v>227</v>
      </c>
      <c r="C75" s="5" t="s">
        <v>223</v>
      </c>
      <c r="D75" s="362" t="str">
        <f>IF(A$68=7,MIN(ROUND((10%*$E$7),0),90000),"N/A")</f>
        <v>N/A</v>
      </c>
      <c r="E75" s="363" t="str">
        <f>IF(D75="N/A","N/A",
IF(G$47&gt;=D75,"Yes",
IF(G$47+MIN(E$30,MAX(D75-G$47,0))&gt;=D75,"Yes",
IF(AND(G$47+MIN(E$30,MAX(D75-G$47,0))&gt;=51%*D75,
G$47+MIN(E$30+G$30,MAX(D75-G$47,0))&gt;=D75),"Yes","No"))))</f>
        <v>N/A</v>
      </c>
      <c r="F75" s="364"/>
      <c r="G75" s="362" t="str">
        <f>IF(E75="N/A","N/A",G$47+MIN(H$47,E$30)+MIN(I$47,F$30)+MIN(J$47,G$30)-D75)</f>
        <v>N/A</v>
      </c>
      <c r="H75" s="365" t="str">
        <f>IF(E75="N/A","N/A",
IF(AND(E$30&gt;0,G$47&gt;0),MAX(D75-G$47,0),0))</f>
        <v>N/A</v>
      </c>
      <c r="I75" s="368"/>
      <c r="J75" s="365" t="str">
        <f>IF(E75="N/A","N/A",IF(AND($A$68=7,G$30&gt;0,G$47+H$47&gt;=51%*D75),MAX(ROUND(D75-G$47-H$47-I$47,0),0),0))</f>
        <v>N/A</v>
      </c>
      <c r="K75" s="274"/>
      <c r="L75" s="274"/>
      <c r="M75" s="173"/>
      <c r="N75"/>
      <c r="O75"/>
      <c r="P75"/>
      <c r="Q75"/>
      <c r="R75"/>
      <c r="S75"/>
      <c r="T75"/>
      <c r="U75"/>
      <c r="V75"/>
    </row>
    <row r="76" spans="1:22" s="181" customFormat="1" ht="24.95" customHeight="1" x14ac:dyDescent="0.2">
      <c r="A76" s="355"/>
      <c r="B76" s="201" t="s">
        <v>63</v>
      </c>
      <c r="C76" s="202"/>
      <c r="D76" s="358"/>
      <c r="E76" s="358"/>
      <c r="F76" s="360"/>
      <c r="G76" s="359"/>
      <c r="H76" s="359"/>
      <c r="I76" s="361"/>
      <c r="J76" s="366"/>
      <c r="K76" s="274"/>
      <c r="L76" s="274"/>
      <c r="M76" s="173"/>
      <c r="N76"/>
      <c r="O76"/>
      <c r="P76"/>
      <c r="Q76"/>
      <c r="R76"/>
      <c r="S76"/>
      <c r="T76"/>
      <c r="U76"/>
      <c r="V76"/>
    </row>
    <row r="77" spans="1:22" s="181" customFormat="1" ht="35.1" customHeight="1" x14ac:dyDescent="0.2">
      <c r="A77" s="355"/>
      <c r="B77" s="5" t="s">
        <v>213</v>
      </c>
      <c r="C77" s="5" t="s">
        <v>243</v>
      </c>
      <c r="D77" s="362" t="str">
        <f>IF($A$68=9,MIN(ROUND((10%*E$7),0),ROUND(240000*L$7,0)),"N/A")</f>
        <v>N/A</v>
      </c>
      <c r="E77" s="363" t="str">
        <f>IF(D77="N/A","N/A",
IF(G$47&gt;=D77,"Yes",
IF(G$47+MIN(E$30,MAX(D77-G$47,0))&gt;=D77,"Yes",
IF(AND(G$47+MIN(E$30,MAX(D77-G$47,0))&gt;=51%*D77,
G$47+MIN(E$30+G$30,MAX(D77-G$47,0))&gt;=D77),"Yes","No"))))</f>
        <v>N/A</v>
      </c>
      <c r="F77" s="364"/>
      <c r="G77" s="362" t="str">
        <f>IF(E77="N/A","N/A",G$47+MIN(H$47,E$30)+MIN(I$47,F$30)+MIN(J$47,G$30)-D77)</f>
        <v>N/A</v>
      </c>
      <c r="H77" s="365" t="str">
        <f>IF(E77="N/A","N/A",
IF(AND(E$30&gt;0,G$47&gt;0),MAX(D77-G$47,0),0))</f>
        <v>N/A</v>
      </c>
      <c r="I77" s="369"/>
      <c r="J77" s="365" t="str">
        <f>IF(E77="N/A","N/A",IF(AND($A$68=9,G$30&gt;0,G$47+H$47&gt;=51%*D77),MAX(ROUND(D77-G$47-H$47-I$47,0),0),0))</f>
        <v>N/A</v>
      </c>
      <c r="K77" s="274"/>
      <c r="L77" s="274"/>
      <c r="M77" s="173"/>
      <c r="N77"/>
      <c r="O77"/>
      <c r="P77"/>
      <c r="Q77"/>
      <c r="R77"/>
      <c r="S77"/>
      <c r="T77"/>
      <c r="U77"/>
      <c r="V77"/>
    </row>
    <row r="78" spans="1:22" s="181" customFormat="1" ht="24.95" customHeight="1" x14ac:dyDescent="0.2">
      <c r="A78" s="355"/>
      <c r="B78" s="201" t="s">
        <v>56</v>
      </c>
      <c r="C78" s="202"/>
      <c r="D78" s="358"/>
      <c r="E78" s="358"/>
      <c r="F78" s="360"/>
      <c r="G78" s="359"/>
      <c r="H78" s="359"/>
      <c r="I78" s="361"/>
      <c r="J78" s="366"/>
      <c r="K78" s="274"/>
      <c r="L78" s="274"/>
      <c r="M78" s="173"/>
      <c r="N78"/>
      <c r="O78"/>
      <c r="P78"/>
      <c r="Q78"/>
      <c r="R78"/>
      <c r="S78"/>
      <c r="T78"/>
      <c r="U78"/>
      <c r="V78"/>
    </row>
    <row r="79" spans="1:22" s="181" customFormat="1" ht="35.1" customHeight="1" x14ac:dyDescent="0.2">
      <c r="A79" s="355"/>
      <c r="B79" s="375" t="s">
        <v>57</v>
      </c>
      <c r="C79" s="5" t="s">
        <v>214</v>
      </c>
      <c r="D79" s="362" t="str">
        <f>IF($A$68=11,MIN(ROUND((10%*E$7),0),ROUND(315000*L$7,0)),"N/A")</f>
        <v>N/A</v>
      </c>
      <c r="E79" s="363" t="str">
        <f t="shared" ref="E79:E85" si="8">IF(D79="N/A","N/A",
IF(G$47&gt;=D79,"Yes",
IF(G$47+MIN(E$30,MAX(D79-G$47,0))&gt;=D79,"Yes",
IF(AND(G$47+MIN(E$30,MAX(D79-G$47,0))&gt;=51%*D79,
G$47+MIN(E$30+G$30,MAX(D79-G$47,0))&gt;=D79),"Yes","No"))))</f>
        <v>N/A</v>
      </c>
      <c r="F79" s="364"/>
      <c r="G79" s="362" t="str">
        <f t="shared" ref="G79:G85" si="9">IF(E79="N/A","N/A",G$47+MIN(H$47,E$30)+MIN(I$47,F$30)+MIN(J$47,G$30)-D79)</f>
        <v>N/A</v>
      </c>
      <c r="H79" s="365" t="str">
        <f t="shared" ref="H79:H85" si="10">IF(E79="N/A","N/A",
IF(AND(E$30&gt;0,G$47&gt;0),MAX(D79-G$47,0),0))</f>
        <v>N/A</v>
      </c>
      <c r="I79" s="369"/>
      <c r="J79" s="365" t="str">
        <f>IF(E79="N/A","N/A",IF(AND($A$68=11,G$30&gt;0,G$47+H$47&gt;=51%*D79),MAX(ROUND(D79-G$47-H$47-I$47,0),0),0))</f>
        <v>N/A</v>
      </c>
      <c r="K79" s="274"/>
      <c r="L79" s="274"/>
      <c r="M79" s="173"/>
      <c r="N79"/>
      <c r="O79"/>
      <c r="P79"/>
      <c r="Q79"/>
      <c r="R79"/>
      <c r="S79"/>
      <c r="T79"/>
      <c r="U79"/>
      <c r="V79"/>
    </row>
    <row r="80" spans="1:22" s="181" customFormat="1" ht="50.1" customHeight="1" x14ac:dyDescent="0.2">
      <c r="A80" s="355"/>
      <c r="B80" s="375" t="s">
        <v>58</v>
      </c>
      <c r="C80" s="5" t="s">
        <v>215</v>
      </c>
      <c r="D80" s="362" t="str">
        <f>IF($A$68=12,MIN(ROUND((10%*E$7),0),ROUND(315000*L$7,0)),"N/A")</f>
        <v>N/A</v>
      </c>
      <c r="E80" s="363" t="str">
        <f t="shared" si="8"/>
        <v>N/A</v>
      </c>
      <c r="F80" s="364"/>
      <c r="G80" s="362" t="str">
        <f t="shared" si="9"/>
        <v>N/A</v>
      </c>
      <c r="H80" s="365" t="str">
        <f t="shared" si="10"/>
        <v>N/A</v>
      </c>
      <c r="I80" s="370"/>
      <c r="J80" s="365" t="str">
        <f>IF(E80="N/A","N/A",IF(AND($A$68=12,G$30&gt;0,G$47+H$47&gt;=51%*D80),MAX(ROUND(D80-G$47-H$47-I$47,0),0),0))</f>
        <v>N/A</v>
      </c>
      <c r="K80" s="274"/>
      <c r="L80" s="274"/>
      <c r="M80" s="173"/>
      <c r="N80"/>
      <c r="O80"/>
      <c r="P80"/>
      <c r="Q80"/>
      <c r="R80"/>
      <c r="S80"/>
      <c r="T80"/>
      <c r="U80"/>
      <c r="V80"/>
    </row>
    <row r="81" spans="1:33" s="181" customFormat="1" ht="60" customHeight="1" x14ac:dyDescent="0.2">
      <c r="A81" s="355"/>
      <c r="B81" s="375" t="s">
        <v>244</v>
      </c>
      <c r="C81" s="5" t="s">
        <v>216</v>
      </c>
      <c r="D81" s="362" t="str">
        <f>IF(A$68=13,MIN(ROUND((10%*E$7),0),ROUND(235000*L$7,0)),"N/A")</f>
        <v>N/A</v>
      </c>
      <c r="E81" s="363" t="str">
        <f t="shared" si="8"/>
        <v>N/A</v>
      </c>
      <c r="F81" s="364"/>
      <c r="G81" s="362" t="str">
        <f t="shared" si="9"/>
        <v>N/A</v>
      </c>
      <c r="H81" s="365" t="str">
        <f t="shared" si="10"/>
        <v>N/A</v>
      </c>
      <c r="I81" s="371"/>
      <c r="J81" s="365" t="str">
        <f>IF(E81="N/A","N/A",IF(AND($A$68=13,G$30&gt;0,G$47+H$47&gt;=51%*D81),MAX(ROUND(D81-G$47-H$47-I$47,0),0),0))</f>
        <v>N/A</v>
      </c>
      <c r="K81" s="274"/>
      <c r="L81" s="274"/>
      <c r="M81" s="173"/>
      <c r="N81"/>
      <c r="O81"/>
      <c r="P81"/>
      <c r="Q81"/>
      <c r="R81"/>
      <c r="S81"/>
      <c r="T81"/>
      <c r="U81"/>
      <c r="V81"/>
    </row>
    <row r="82" spans="1:33" s="181" customFormat="1" ht="41.45" customHeight="1" x14ac:dyDescent="0.2">
      <c r="A82" s="355"/>
      <c r="B82" s="375" t="s">
        <v>245</v>
      </c>
      <c r="C82" s="73">
        <v>0.1</v>
      </c>
      <c r="D82" s="362" t="str">
        <f>IF(A$68=14,ROUND((10%*$E$7),0),"N/A")</f>
        <v>N/A</v>
      </c>
      <c r="E82" s="363" t="str">
        <f t="shared" si="8"/>
        <v>N/A</v>
      </c>
      <c r="F82" s="364"/>
      <c r="G82" s="362" t="str">
        <f t="shared" si="9"/>
        <v>N/A</v>
      </c>
      <c r="H82" s="365" t="str">
        <f t="shared" si="10"/>
        <v>N/A</v>
      </c>
      <c r="I82" s="372"/>
      <c r="J82" s="365" t="str">
        <f>IF(E82="N/A","N/A",IF(AND($A$68=14,G$30&gt;0,G$47+H$47&gt;=51%*D82),MAX(ROUND(D82-G$47-H$47-I$47,0),0),0))</f>
        <v>N/A</v>
      </c>
      <c r="K82" s="274"/>
      <c r="L82" s="274"/>
      <c r="M82" s="173"/>
      <c r="N82"/>
      <c r="O82"/>
      <c r="P82"/>
      <c r="Q82"/>
      <c r="R82"/>
      <c r="S82"/>
      <c r="T82"/>
      <c r="U82"/>
      <c r="V82"/>
    </row>
    <row r="83" spans="1:33" s="181" customFormat="1" ht="35.1" customHeight="1" x14ac:dyDescent="0.2">
      <c r="A83" s="355"/>
      <c r="B83" s="375" t="s">
        <v>59</v>
      </c>
      <c r="C83" s="5" t="s">
        <v>217</v>
      </c>
      <c r="D83" s="362" t="str">
        <f>IF(A$68=15,MIN(ROUND((5%*E$7),0),230000),"N/A")</f>
        <v>N/A</v>
      </c>
      <c r="E83" s="363" t="str">
        <f t="shared" si="8"/>
        <v>N/A</v>
      </c>
      <c r="F83" s="364"/>
      <c r="G83" s="362" t="str">
        <f t="shared" si="9"/>
        <v>N/A</v>
      </c>
      <c r="H83" s="365" t="str">
        <f t="shared" si="10"/>
        <v>N/A</v>
      </c>
      <c r="I83" s="372"/>
      <c r="J83" s="365" t="str">
        <f>IF(E83="N/A","N/A",IF(AND($A$68=15,G$30&gt;0,G$47+H$47&gt;=51%*D83),MAX(ROUND(D83-G$47-H$47-I$47,0),0),0))</f>
        <v>N/A</v>
      </c>
      <c r="K83" s="274"/>
      <c r="L83" s="274"/>
      <c r="M83" s="173"/>
      <c r="N83"/>
      <c r="O83"/>
      <c r="P83"/>
      <c r="Q83"/>
      <c r="R83"/>
      <c r="S83"/>
      <c r="T83"/>
      <c r="U83"/>
      <c r="V83"/>
    </row>
    <row r="84" spans="1:33" s="181" customFormat="1" ht="39" customHeight="1" x14ac:dyDescent="0.2">
      <c r="A84" s="355"/>
      <c r="B84" s="375" t="s">
        <v>60</v>
      </c>
      <c r="C84" s="5" t="s">
        <v>218</v>
      </c>
      <c r="D84" s="362" t="str">
        <f>IF(A$68=16,MIN(ROUND((10%*E$7),0),ROUND(2*205000*L$7,0)),"N/A")</f>
        <v>N/A</v>
      </c>
      <c r="E84" s="363" t="str">
        <f t="shared" si="8"/>
        <v>N/A</v>
      </c>
      <c r="F84" s="364"/>
      <c r="G84" s="362" t="str">
        <f t="shared" si="9"/>
        <v>N/A</v>
      </c>
      <c r="H84" s="365" t="str">
        <f t="shared" si="10"/>
        <v>N/A</v>
      </c>
      <c r="I84" s="372"/>
      <c r="J84" s="365" t="str">
        <f>IF(E84="N/A","N/A",IF(AND($A$68=16,G$30&gt;0,G$47+H$47&gt;=51%*D84),MAX(ROUND(D84-G$47-H$47-I$47,0),0),0))</f>
        <v>N/A</v>
      </c>
      <c r="K84" s="274"/>
      <c r="L84" s="274"/>
      <c r="M84" s="173"/>
      <c r="N84"/>
      <c r="O84"/>
      <c r="P84"/>
      <c r="Q84"/>
      <c r="R84"/>
      <c r="S84"/>
      <c r="T84"/>
      <c r="U84"/>
      <c r="V84"/>
    </row>
    <row r="85" spans="1:33" s="181" customFormat="1" ht="35.1" customHeight="1" x14ac:dyDescent="0.2">
      <c r="A85" s="355"/>
      <c r="B85" s="375" t="s">
        <v>61</v>
      </c>
      <c r="C85" s="5" t="s">
        <v>219</v>
      </c>
      <c r="D85" s="362" t="str">
        <f>IF(A$68=17,MIN(ROUND((10%*E$7),0),ROUND(525000*L$7,0)),"N/A")</f>
        <v>N/A</v>
      </c>
      <c r="E85" s="363" t="str">
        <f t="shared" si="8"/>
        <v>N/A</v>
      </c>
      <c r="F85" s="364"/>
      <c r="G85" s="362" t="str">
        <f t="shared" si="9"/>
        <v>N/A</v>
      </c>
      <c r="H85" s="365" t="str">
        <f t="shared" si="10"/>
        <v>N/A</v>
      </c>
      <c r="I85" s="372"/>
      <c r="J85" s="365" t="str">
        <f>IF(E85="N/A","N/A",IF(AND($A$68=17,G$30&gt;0,G$47+H$47&gt;=51%*D85),MAX(ROUND(D85-G$47-H$47-I$47,0),0),0))</f>
        <v>N/A</v>
      </c>
      <c r="K85" s="274"/>
      <c r="L85" s="274"/>
      <c r="M85" s="173"/>
      <c r="N85"/>
      <c r="O85"/>
      <c r="P85"/>
      <c r="Q85"/>
      <c r="R85"/>
      <c r="S85"/>
      <c r="T85"/>
      <c r="U85"/>
      <c r="V85"/>
    </row>
    <row r="86" spans="1:33" s="181" customFormat="1" ht="24.95" customHeight="1" x14ac:dyDescent="0.2">
      <c r="A86" s="355"/>
      <c r="B86" s="6" t="s">
        <v>220</v>
      </c>
      <c r="C86" s="80"/>
      <c r="D86" s="360"/>
      <c r="E86" s="360"/>
      <c r="F86" s="360"/>
      <c r="G86" s="360"/>
      <c r="H86" s="360"/>
      <c r="I86" s="373"/>
      <c r="J86" s="366"/>
      <c r="K86" s="274"/>
      <c r="L86" s="274"/>
      <c r="M86" s="173"/>
      <c r="N86"/>
      <c r="O86"/>
      <c r="P86"/>
      <c r="Q86"/>
      <c r="R86"/>
      <c r="S86"/>
      <c r="T86"/>
      <c r="U86"/>
      <c r="V86"/>
    </row>
    <row r="87" spans="1:33" s="181" customFormat="1" ht="50.1" customHeight="1" x14ac:dyDescent="0.2">
      <c r="A87" s="355"/>
      <c r="B87" s="375" t="s">
        <v>221</v>
      </c>
      <c r="C87" s="73">
        <v>0.1</v>
      </c>
      <c r="D87" s="362" t="str">
        <f>IF(A$68=19,ROUND((10%*$E$7),0),"N/A")</f>
        <v>N/A</v>
      </c>
      <c r="E87" s="363" t="str">
        <f>IF(D87="N/A","N/A",
IF(G$47&gt;=D87,"Yes",
IF(G$47+MIN(E$30,MAX(D87-G$47,0))&gt;=D87,"Yes",
IF(AND(G$47+MIN(E$30,MAX(D87-G$47,0))&gt;=51%*D87,
G$47+MIN(E$30+G$30,MAX(D87-G$47,0))&gt;=D87),"Yes","No"))))</f>
        <v>N/A</v>
      </c>
      <c r="F87" s="364"/>
      <c r="G87" s="362" t="str">
        <f>IF(E87="N/A","N/A",G$47+MIN(H$47,E$30)+MIN(I$47,F$30)+MIN(J$47,G$30)-D87)</f>
        <v>N/A</v>
      </c>
      <c r="H87" s="365" t="str">
        <f>IF(E87="N/A","N/A",
IF(AND(E$30&gt;0,G$47&gt;0),MAX(D87-G$47,0),0))</f>
        <v>N/A</v>
      </c>
      <c r="I87" s="372"/>
      <c r="J87" s="365" t="str">
        <f>IF(E87="N/A","N/A",IF(AND($A$68=19,G$30&gt;0,G$47+H$47&gt;=51%*D87),MAX(ROUND(D87-G$47-H$47-I$47,0),0),0))</f>
        <v>N/A</v>
      </c>
      <c r="K87" s="274"/>
      <c r="L87" s="274"/>
      <c r="M87" s="17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132" customFormat="1" ht="15" x14ac:dyDescent="0.2">
      <c r="A88" s="349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132" customFormat="1" ht="24.95" customHeight="1" x14ac:dyDescent="0.2">
      <c r="A89" s="339" t="s">
        <v>65</v>
      </c>
      <c r="B89" s="34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s="181" customFormat="1" ht="38.25" customHeight="1" x14ac:dyDescent="0.2">
      <c r="A90" s="225"/>
      <c r="B90" s="444" t="s">
        <v>66</v>
      </c>
      <c r="C90" s="445"/>
      <c r="D90" s="446"/>
      <c r="E90" s="447" t="s">
        <v>208</v>
      </c>
      <c r="F90" s="448"/>
      <c r="G90" s="449"/>
      <c r="H90" s="425" t="s">
        <v>67</v>
      </c>
      <c r="I90" s="426"/>
      <c r="J90" s="427"/>
      <c r="K90" s="428" t="str">
        <f>_xlfn.CONCAT(IF(L68=1,L69,IF(L68=2,L70,IF(L68=3,L71,IF(L68=4,"Incentive Programs","")))),"***")</f>
        <v>Incentive Programs***</v>
      </c>
      <c r="L90" s="428"/>
      <c r="M90" s="428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181" customFormat="1" ht="45" customHeight="1" x14ac:dyDescent="0.2">
      <c r="A91" s="167" t="s">
        <v>47</v>
      </c>
      <c r="B91" s="341" t="s">
        <v>68</v>
      </c>
      <c r="C91" s="341" t="s">
        <v>69</v>
      </c>
      <c r="D91" s="342" t="s">
        <v>70</v>
      </c>
      <c r="E91" s="343" t="s">
        <v>174</v>
      </c>
      <c r="F91" s="344" t="s">
        <v>69</v>
      </c>
      <c r="G91" s="344" t="s">
        <v>70</v>
      </c>
      <c r="H91" s="345" t="s">
        <v>71</v>
      </c>
      <c r="I91" s="346" t="s">
        <v>69</v>
      </c>
      <c r="J91" s="346" t="s">
        <v>70</v>
      </c>
      <c r="K91" s="347" t="s">
        <v>72</v>
      </c>
      <c r="L91" s="348" t="s">
        <v>69</v>
      </c>
      <c r="M91" s="348" t="s">
        <v>70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181" customFormat="1" ht="20.100000000000001" customHeight="1" x14ac:dyDescent="0.2">
      <c r="A92" s="232" t="s">
        <v>229</v>
      </c>
      <c r="B92" s="232"/>
      <c r="C92" s="233"/>
      <c r="D92" s="233"/>
      <c r="E92" s="233"/>
      <c r="F92" s="233"/>
      <c r="G92" s="233"/>
      <c r="H92" s="233"/>
      <c r="I92" s="233"/>
      <c r="J92" s="233"/>
      <c r="K92" s="234"/>
      <c r="L92" s="235"/>
      <c r="M92" s="236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s="181" customFormat="1" ht="58.15" customHeight="1" x14ac:dyDescent="0.2">
      <c r="A93" s="237" t="s">
        <v>224</v>
      </c>
      <c r="B93" s="239" t="str">
        <f>IF(OR(A$68=1,A$68=2,AND(A$68&gt;4,A$68&lt;10)),IF(AND(E11&lt;&gt;"Yes",E$14&lt;&gt;"Yes"),MIN(550000,ROUND(E$7*0.6,0)),MIN((N(E93)+N(H93)+N(K93)),ROUND(E$7*0.84,0))),"N/A")</f>
        <v>N/A</v>
      </c>
      <c r="C93" s="238" t="str">
        <f>IF(OR(A$68=1,A$68=2,AND(A$68&gt;4,A$68&lt;10)),IF(OR(B93&lt;C30+C48,F93="No",I93="No",L93="No"),"No","Yes"),"N/A")</f>
        <v>N/A</v>
      </c>
      <c r="D93" s="239" t="str">
        <f>IF(C93="No",MAX(C30+C48-B93,IF(G93="N/A",0,G93)+IF(J93="N/A",0,J93)+IF(M93="N/A",0,M93)),"N/A")</f>
        <v>N/A</v>
      </c>
      <c r="E93" s="168" t="str">
        <f>IF(OR(A$68=1,A$68=2,AND(A$68&gt;4,A$68&lt;10)),MIN(550000,ROUND(E7*0.6,0)),"N/A")</f>
        <v>N/A</v>
      </c>
      <c r="F93" s="240" t="str">
        <f>IF(OR(A$68=1,A$68=2,AND(A$68&gt;4,A$68&lt;10)),IF(E93&gt;=E$16,"Yes","No"),"N/A")</f>
        <v>N/A</v>
      </c>
      <c r="G93" s="241" t="str">
        <f>IF($F93="No",E16-E93,"N/A")</f>
        <v>N/A</v>
      </c>
      <c r="H93" s="168" t="str">
        <f>IF(OR(A$68=1,A$68=2,AND(A$68&gt;4,A$68&lt;10)),IF(E14="Yes",MIN(ROUND(E$7*F$9,0),MAX(84%*$E$7-E93,0)),"N/A"),"N/A")</f>
        <v>N/A</v>
      </c>
      <c r="I93" s="241" t="str">
        <f>IF(OR(A$68=1,A$68=2,AND(A$68&gt;4,A$68&lt;10)),IF(E14="Yes",IF(H93&gt;=(E15),"Yes","No"),"N/A"),"N/A")</f>
        <v>N/A</v>
      </c>
      <c r="J93" s="242" t="str">
        <f>IF(I93="No",E15-H93,"N/A")</f>
        <v>N/A</v>
      </c>
      <c r="K93" s="168" t="str">
        <f>IF(OR(A$68=1,A$68=2,AND(A$68&gt;4,A$68&lt;10)),
 IF(E$11="Yes",
   IF(L$68=1,MIN(ROUND(15%*$E$7,0),1000000),
   IF(AND(L$68=2,E$13="Yes"),MIN(ROUND(25%*$E$7,0),900000),
   IF(AND(L$68=2,E$13&lt;&gt;"Yes"),MIN(ROUND(15%*$E$7,0),900000),
   IF(L$68=3,MIN(ROUND(30%*$E$7,0),200000),"N/A")))),
 "N/A"),
"N/A")</f>
        <v>N/A</v>
      </c>
      <c r="L93" s="243" t="str">
        <f>IF(K93="N/A","N/A",IF(K93&gt;=E$12,"Yes","No"))</f>
        <v>N/A</v>
      </c>
      <c r="M93" s="244" t="str">
        <f>IF(L93="No",E12-K93,"N/A")</f>
        <v>N/A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s="181" customFormat="1" ht="20.100000000000001" customHeight="1" x14ac:dyDescent="0.2">
      <c r="A94" s="232" t="s">
        <v>228</v>
      </c>
      <c r="B94" s="232"/>
      <c r="C94" s="233"/>
      <c r="D94" s="233"/>
      <c r="E94" s="233"/>
      <c r="F94" s="233"/>
      <c r="G94" s="233"/>
      <c r="H94" s="233"/>
      <c r="I94" s="233"/>
      <c r="J94" s="233"/>
      <c r="K94" s="234"/>
      <c r="L94" s="234"/>
      <c r="M94" s="246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s="181" customFormat="1" ht="58.15" customHeight="1" x14ac:dyDescent="0.2">
      <c r="A95" s="247" t="s">
        <v>225</v>
      </c>
      <c r="B95" s="239" t="str">
        <f>IF(AND(A$68&gt;9,A$68&lt;18),IF(AND(E$11&lt;&gt;"Yes",E$14&lt;&gt;"Yes"),MIN(750000,ROUND(E$7*60%,0)),MIN((N(E95)+N(H95)+N(K95)),ROUND(E$7*84%,0))),"N/A")</f>
        <v>N/A</v>
      </c>
      <c r="C95" s="238" t="str">
        <f>IF(AND(A$68&gt;9,A$68&lt;18),IF(OR(B95&lt;C$30+C$48,F95="No",I95="No",L95="No"),"No","Yes"),"N/A")</f>
        <v>N/A</v>
      </c>
      <c r="D95" s="239" t="str">
        <f>IF(C95="No",MAX(C$30+C$48-B95,IF(G95="N/A",0,G95)+IF(J95="N/A",0,J95)+IF(M95="N/A",0,M95)),"N/A")</f>
        <v>N/A</v>
      </c>
      <c r="E95" s="239" t="str">
        <f>IF(AND(A$68&gt;9,A$68&lt;18),MIN(750000,ROUND(E$7*0.6,0)),"N/A")</f>
        <v>N/A</v>
      </c>
      <c r="F95" s="238" t="str">
        <f>IF(AND(A$68&gt;9,A$68&lt;18),IF(E95&gt;=E$16,"Yes","No"),"N/A")</f>
        <v>N/A</v>
      </c>
      <c r="G95" s="242" t="str">
        <f>IF(F95="No",E$16-E95,"N/A")</f>
        <v>N/A</v>
      </c>
      <c r="H95" s="239" t="str">
        <f>IF(AND(A$68&gt;9,A$68&lt;18),IF(E$14="Yes",MIN(ROUND(E$7*F$9,0),MAX(84%*$E$7-E95,0)),"N/A"),"N/A")</f>
        <v>N/A</v>
      </c>
      <c r="I95" s="242" t="str">
        <f>IF(AND(A$68&gt;9,A$68&lt;18),IF(E$14="Yes",IF(H95&gt;=E$15,"Yes","No"),"N/A"),"N/A")</f>
        <v>N/A</v>
      </c>
      <c r="J95" s="242" t="str">
        <f>IF(I95="No",E$15-H95,"N/A")</f>
        <v>N/A</v>
      </c>
      <c r="K95" s="243" t="str">
        <f>IF(AND(A$68&gt;9,A$68&lt;18),
 IF(E$11="Yes",
   IF(L$68=1,MIN(ROUND(15%*$E$7,0),1000000),
   IF(AND(A$68=15,L$68=2,E$13="Yes"),MIN(ROUND(25%*$E$7,0),600000),
   IF(AND(A$68=15,L$68=2,E$13&lt;&gt;"Yes"),MIN(ROUND(15%*$E$7,0),600000),
   IF(AND(L$68=2,E$13="Yes"),MIN(ROUND(25%*$E$7,0),900000),
   IF(AND(L$68=2,E$13&lt;&gt;"Yes"),MIN(ROUND(15%*$E$7,0),900000),
   IF(L$68=3,MIN(ROUND(30%*$E$7,0),200000),"N/A")))))),
 "N/A"),
"N/A")</f>
        <v>N/A</v>
      </c>
      <c r="L95" s="243" t="str">
        <f>IF(K95="N/A","N/A",IF(K95&gt;=E$12,"Yes","No"))</f>
        <v>N/A</v>
      </c>
      <c r="M95" s="244" t="str">
        <f>IF(L95="No",E$12-K95,"N/A")</f>
        <v>N/A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s="181" customFormat="1" ht="20.100000000000001" customHeight="1" x14ac:dyDescent="0.2">
      <c r="A96" s="232" t="s">
        <v>230</v>
      </c>
      <c r="B96" s="232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46"/>
    </row>
    <row r="97" spans="1:43" s="181" customFormat="1" ht="58.15" customHeight="1" x14ac:dyDescent="0.2">
      <c r="A97" s="247" t="s">
        <v>225</v>
      </c>
      <c r="B97" s="239" t="str">
        <f>IF(OR(A$68=18,A$68=19,A$68=3,A$68=4),IF(AND(E$11&lt;&gt;"Yes",E$14&lt;&gt;"Yes"),MIN(750000,ROUND(E$7*60%,0)),MIN((N(E97)+N(H97)+N(K97)),ROUND(E$7*84%,0))),"N/A")</f>
        <v>N/A</v>
      </c>
      <c r="C97" s="238" t="str">
        <f>IF(OR(A$68=18,A$68=19,A$68=3,A$68=4),IF(OR(B97&lt;C$30+C$48,F97="No",I97="No",L97="No"),"No","Yes"),"N/A")</f>
        <v>N/A</v>
      </c>
      <c r="D97" s="239" t="str">
        <f>IF(C97="No",MAX(C$30+C$48-B97,IF(G97="N/A",0,G97)+IF(J97="N/A",0,J97)+IF(M97="N/A",0,M97)),"N/A")</f>
        <v>N/A</v>
      </c>
      <c r="E97" s="239" t="str">
        <f>IF(OR(A$68=18,A$68=19,A$68=3,A$68=4),MIN(750000,ROUND(E$7*0.6,0)),"N/A")</f>
        <v>N/A</v>
      </c>
      <c r="F97" s="238" t="str">
        <f>IF(OR(A$68=18,A$68=19,A$68=3,A$68=4),IF(E97&gt;=E$16,"Yes","No"),"N/A")</f>
        <v>N/A</v>
      </c>
      <c r="G97" s="242" t="str">
        <f>IF(F97="No",E$16-E97,"N/A")</f>
        <v>N/A</v>
      </c>
      <c r="H97" s="239" t="str">
        <f>IF(OR(A$68=18,A$68=19,A$68=3,A$68=4),IF(E$14="Yes",MIN(ROUND(E$7*F$9,0),MAX(84%*$E$7-E97,0)),"N/A"),"N/A")</f>
        <v>N/A</v>
      </c>
      <c r="I97" s="242" t="str">
        <f>IF(OR(A$68=18,A$68=19,A$68=3,A$68=4),IF(E$14="Yes",IF(H97&gt;=E$15,"Yes","No"),"N/A"),"N/A")</f>
        <v>N/A</v>
      </c>
      <c r="J97" s="242" t="str">
        <f>IF(I97="No",E$15-H97,"N/A")</f>
        <v>N/A</v>
      </c>
      <c r="K97" s="243" t="str">
        <f>IF(OR(A$68=18,A$68=19,A$68=3,A$68=4),
 IF(E$11="Yes",
   IF(L$68=1,MIN(ROUND(15%*$E$7,0),1000000),
   IF(AND(L$68=2,E$13="Yes"),MIN(ROUND(25%*$E$7,0),900000),
   IF(AND(L$68=2,E$13&lt;&gt;"Yes"),MIN(ROUND(15%*$E$7,0),900000),
   IF(L$68=3,MIN(ROUND(30%*$E$7,0),200000),"N/A")))),
 "N/A"),"N/A")</f>
        <v>N/A</v>
      </c>
      <c r="L97" s="243" t="str">
        <f>IF(K97="N/A","N/A",IF(K97&gt;=E$12,"Yes","No"))</f>
        <v>N/A</v>
      </c>
      <c r="M97" s="244" t="str">
        <f>IF(L97="No",E$12-K97,"N/A")</f>
        <v>N/A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43" s="181" customFormat="1" ht="20.100000000000001" customHeight="1" x14ac:dyDescent="0.2">
      <c r="A98" s="249"/>
      <c r="B98" s="250"/>
      <c r="C98" s="249"/>
      <c r="D98" s="249"/>
      <c r="E98" s="249"/>
      <c r="F98" s="249"/>
      <c r="G98" s="249"/>
      <c r="H98" s="249"/>
      <c r="I98" s="249"/>
      <c r="J98" s="249"/>
      <c r="K98" s="249"/>
      <c r="L98" s="251"/>
      <c r="M98" s="251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43" s="181" customFormat="1" ht="30" customHeight="1" x14ac:dyDescent="0.2">
      <c r="A99" s="282" t="s">
        <v>181</v>
      </c>
      <c r="B99" s="429" t="s">
        <v>62</v>
      </c>
      <c r="C99" s="430"/>
      <c r="D99" s="431" t="s">
        <v>188</v>
      </c>
      <c r="E99" s="432"/>
      <c r="F99" s="433"/>
      <c r="G99" s="249"/>
      <c r="H99" s="249"/>
      <c r="I99" s="249"/>
      <c r="J99" s="249"/>
      <c r="K99" s="249"/>
      <c r="L99" s="249"/>
      <c r="M99" s="24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43" s="181" customFormat="1" ht="30" customHeight="1" x14ac:dyDescent="0.2">
      <c r="A100" s="282" t="s">
        <v>181</v>
      </c>
      <c r="B100" s="429" t="s">
        <v>64</v>
      </c>
      <c r="C100" s="430"/>
      <c r="D100" s="431" t="str">
        <f>IF(E13&lt;&gt;"Yes", "15% of Eligible Costs (Max $600,000 for Feature films, Live-action, Drama) | $900,000 for all other projects) ", "25% of Eligible Costs (Max $600,000 for  Feature films, Live-action, Drama) | $900,000 for all other projects) ")</f>
        <v xml:space="preserve">15% of Eligible Costs (Max $600,000 for Feature films, Live-action, Drama) | $900,000 for all other projects) </v>
      </c>
      <c r="E100" s="442"/>
      <c r="F100" s="443"/>
      <c r="G100" s="249"/>
      <c r="H100" s="249"/>
      <c r="I100" s="249"/>
      <c r="J100" s="249"/>
      <c r="K100" s="249"/>
      <c r="L100" s="249"/>
      <c r="M100" s="249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43" s="255" customFormat="1" ht="30" customHeight="1" x14ac:dyDescent="0.2">
      <c r="A101" s="282" t="s">
        <v>181</v>
      </c>
      <c r="B101" s="429" t="s">
        <v>190</v>
      </c>
      <c r="C101" s="430"/>
      <c r="D101" s="431" t="s">
        <v>189</v>
      </c>
      <c r="E101" s="442"/>
      <c r="F101" s="443"/>
      <c r="G101" s="253"/>
      <c r="H101" s="253"/>
      <c r="I101" s="253"/>
      <c r="J101" s="253"/>
      <c r="K101" s="253"/>
      <c r="L101" s="253"/>
      <c r="M101" s="253"/>
      <c r="N101" s="253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</row>
    <row r="102" spans="1:43" s="255" customFormat="1" ht="15" x14ac:dyDescent="0.2">
      <c r="A102" s="253"/>
      <c r="B102" s="254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</row>
    <row r="103" spans="1:43" s="255" customFormat="1" ht="15" x14ac:dyDescent="0.2">
      <c r="A103" s="253"/>
      <c r="B103" s="254"/>
      <c r="C103" s="253"/>
      <c r="D103" s="253"/>
      <c r="E103" s="253"/>
      <c r="F103" s="253"/>
      <c r="G103"/>
      <c r="H103" s="253"/>
      <c r="I103" s="253"/>
      <c r="J103" s="253"/>
      <c r="K103" s="253"/>
      <c r="L103" s="253"/>
      <c r="M103" s="253"/>
      <c r="N103" s="25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</row>
    <row r="104" spans="1:43" s="255" customFormat="1" ht="15" x14ac:dyDescent="0.2">
      <c r="G104"/>
      <c r="H104" s="253"/>
      <c r="I104" s="253"/>
      <c r="J104" s="253"/>
      <c r="K104" s="253"/>
      <c r="L104" s="253"/>
      <c r="M104" s="253"/>
      <c r="N104" s="253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</row>
    <row r="105" spans="1:43" s="255" customFormat="1" ht="15" x14ac:dyDescent="0.2">
      <c r="G105"/>
      <c r="H105" s="253"/>
      <c r="I105" s="253"/>
      <c r="J105" s="253"/>
      <c r="K105" s="253"/>
      <c r="L105" s="253"/>
      <c r="M105" s="253"/>
      <c r="N105" s="253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</row>
    <row r="106" spans="1:43" s="255" customFormat="1" ht="15" x14ac:dyDescent="0.2">
      <c r="G106"/>
      <c r="H106" s="253"/>
      <c r="I106" s="253"/>
      <c r="J106" s="253"/>
      <c r="K106" s="253"/>
      <c r="L106" s="253"/>
      <c r="M106" s="253"/>
      <c r="N106" s="253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</row>
    <row r="107" spans="1:43" s="255" customFormat="1" ht="15" x14ac:dyDescent="0.2">
      <c r="A107" s="253"/>
      <c r="B107" s="254"/>
      <c r="C107" s="253"/>
      <c r="D107" s="253"/>
      <c r="E107" s="253"/>
      <c r="F107" s="253"/>
      <c r="G107"/>
      <c r="H107" s="253"/>
      <c r="I107" s="253"/>
      <c r="J107" s="253"/>
      <c r="K107" s="253"/>
      <c r="L107" s="253"/>
      <c r="M107" s="253"/>
      <c r="N107" s="253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</row>
    <row r="108" spans="1:43" s="255" customFormat="1" ht="15" x14ac:dyDescent="0.2">
      <c r="A108" s="253"/>
      <c r="B108" s="254"/>
      <c r="C108" s="253"/>
      <c r="D108" s="253"/>
      <c r="E108" s="253"/>
      <c r="F108" s="253"/>
      <c r="G108"/>
      <c r="H108" s="253"/>
      <c r="I108" s="253"/>
      <c r="J108" s="253"/>
      <c r="K108" s="253"/>
      <c r="L108" s="253"/>
      <c r="M108" s="253"/>
      <c r="N108" s="253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</row>
    <row r="109" spans="1:43" s="255" customFormat="1" ht="15" x14ac:dyDescent="0.2">
      <c r="A109" s="253"/>
      <c r="B109" s="254"/>
      <c r="C109" s="253"/>
      <c r="D109" s="253"/>
      <c r="E109" s="253"/>
      <c r="F109" s="253"/>
      <c r="G109"/>
      <c r="H109" s="253"/>
      <c r="I109" s="253"/>
      <c r="J109" s="253"/>
      <c r="K109" s="253"/>
      <c r="L109" s="253"/>
      <c r="M109" s="253"/>
      <c r="N109" s="253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</row>
    <row r="110" spans="1:43" s="255" customFormat="1" ht="15" x14ac:dyDescent="0.2">
      <c r="A110" s="253"/>
      <c r="B110" s="254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</row>
    <row r="111" spans="1:43" s="255" customFormat="1" ht="15" x14ac:dyDescent="0.2">
      <c r="A111" s="253"/>
      <c r="B111" s="254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</row>
    <row r="112" spans="1:43" s="255" customFormat="1" ht="15" x14ac:dyDescent="0.2">
      <c r="A112" s="253"/>
      <c r="B112" s="254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</row>
    <row r="113" spans="1:43" s="255" customFormat="1" ht="15" x14ac:dyDescent="0.2">
      <c r="A113" s="253"/>
      <c r="B113" s="254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</row>
    <row r="114" spans="1:43" s="255" customFormat="1" ht="15" x14ac:dyDescent="0.2">
      <c r="A114" s="253"/>
      <c r="B114" s="254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</row>
    <row r="115" spans="1:43" s="255" customFormat="1" ht="15" x14ac:dyDescent="0.2">
      <c r="A115" s="253"/>
      <c r="B115" s="254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</row>
    <row r="116" spans="1:43" s="255" customFormat="1" ht="15" x14ac:dyDescent="0.2">
      <c r="A116" s="253"/>
      <c r="B116" s="254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</row>
    <row r="117" spans="1:43" s="255" customFormat="1" ht="15" x14ac:dyDescent="0.2">
      <c r="A117" s="253"/>
      <c r="B117" s="254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</row>
    <row r="118" spans="1:43" s="255" customFormat="1" ht="15" x14ac:dyDescent="0.2">
      <c r="A118" s="253"/>
      <c r="B118" s="254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</row>
    <row r="119" spans="1:43" s="255" customFormat="1" ht="15" x14ac:dyDescent="0.2">
      <c r="A119" s="253"/>
      <c r="B119" s="254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</row>
    <row r="120" spans="1:43" s="255" customFormat="1" ht="15" x14ac:dyDescent="0.2">
      <c r="A120" s="253"/>
      <c r="B120" s="254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</row>
    <row r="121" spans="1:43" s="255" customFormat="1" ht="15" x14ac:dyDescent="0.2">
      <c r="A121" s="253"/>
      <c r="B121" s="254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</row>
    <row r="122" spans="1:43" s="255" customFormat="1" ht="15" x14ac:dyDescent="0.2">
      <c r="A122" s="253"/>
      <c r="B122" s="254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</row>
    <row r="123" spans="1:43" s="255" customFormat="1" ht="15" x14ac:dyDescent="0.2">
      <c r="A123" s="253"/>
      <c r="B123" s="254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</row>
    <row r="124" spans="1:43" s="255" customFormat="1" ht="15" x14ac:dyDescent="0.2">
      <c r="A124" s="253"/>
      <c r="B124" s="254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</row>
    <row r="125" spans="1:43" s="255" customFormat="1" ht="15" x14ac:dyDescent="0.2">
      <c r="A125" s="253"/>
      <c r="B125" s="254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</row>
    <row r="126" spans="1:43" s="255" customFormat="1" ht="15" x14ac:dyDescent="0.2">
      <c r="A126" s="253"/>
      <c r="B126" s="254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</row>
    <row r="127" spans="1:43" s="255" customFormat="1" ht="15" x14ac:dyDescent="0.2">
      <c r="A127" s="253"/>
      <c r="B127" s="254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</row>
    <row r="128" spans="1:43" s="255" customFormat="1" ht="15" x14ac:dyDescent="0.2">
      <c r="A128" s="253"/>
      <c r="B128" s="254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</row>
    <row r="129" spans="1:43" s="255" customFormat="1" ht="15" x14ac:dyDescent="0.2">
      <c r="A129" s="253"/>
      <c r="B129" s="254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</row>
    <row r="130" spans="1:43" s="255" customFormat="1" ht="15" x14ac:dyDescent="0.2">
      <c r="A130" s="253"/>
      <c r="B130" s="254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</row>
    <row r="131" spans="1:43" s="255" customFormat="1" ht="15" x14ac:dyDescent="0.2">
      <c r="A131" s="253"/>
      <c r="B131" s="254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</row>
    <row r="132" spans="1:43" s="255" customFormat="1" ht="15" x14ac:dyDescent="0.2">
      <c r="A132" s="253"/>
      <c r="B132" s="254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</row>
    <row r="133" spans="1:43" s="255" customFormat="1" ht="15" x14ac:dyDescent="0.2">
      <c r="A133" s="253"/>
      <c r="B133" s="254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</row>
    <row r="134" spans="1:43" s="255" customFormat="1" ht="15" x14ac:dyDescent="0.2">
      <c r="A134" s="253"/>
      <c r="B134" s="254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</row>
    <row r="135" spans="1:43" s="255" customFormat="1" ht="15" x14ac:dyDescent="0.2">
      <c r="A135" s="253"/>
      <c r="B135" s="254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</row>
    <row r="136" spans="1:43" s="255" customFormat="1" ht="15" x14ac:dyDescent="0.2">
      <c r="A136" s="253"/>
      <c r="B136" s="254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</row>
    <row r="137" spans="1:43" s="255" customFormat="1" ht="15" x14ac:dyDescent="0.2">
      <c r="A137" s="253"/>
      <c r="B137" s="254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</row>
    <row r="138" spans="1:43" s="255" customFormat="1" ht="15" x14ac:dyDescent="0.2">
      <c r="A138" s="253"/>
      <c r="B138" s="254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</row>
    <row r="139" spans="1:43" s="255" customFormat="1" ht="15" x14ac:dyDescent="0.2">
      <c r="A139" s="253"/>
      <c r="B139" s="254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</row>
    <row r="140" spans="1:43" s="255" customFormat="1" ht="15" x14ac:dyDescent="0.2">
      <c r="A140" s="253"/>
      <c r="B140" s="254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</row>
    <row r="141" spans="1:43" s="255" customFormat="1" ht="15" x14ac:dyDescent="0.2">
      <c r="A141" s="253"/>
      <c r="B141" s="254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</row>
    <row r="142" spans="1:43" s="255" customFormat="1" ht="15" x14ac:dyDescent="0.2">
      <c r="A142" s="253"/>
      <c r="B142" s="254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</row>
    <row r="143" spans="1:43" s="255" customFormat="1" ht="15" x14ac:dyDescent="0.2">
      <c r="A143" s="253"/>
      <c r="B143" s="254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</row>
    <row r="144" spans="1:43" s="255" customFormat="1" ht="15" x14ac:dyDescent="0.2">
      <c r="A144" s="253"/>
      <c r="B144" s="254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</row>
    <row r="145" spans="1:43" s="255" customFormat="1" ht="15" x14ac:dyDescent="0.2">
      <c r="A145" s="253"/>
      <c r="B145" s="254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</row>
    <row r="146" spans="1:43" s="255" customFormat="1" ht="15" x14ac:dyDescent="0.2">
      <c r="A146" s="253"/>
      <c r="B146" s="254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</row>
    <row r="147" spans="1:43" s="255" customFormat="1" ht="15" x14ac:dyDescent="0.2">
      <c r="A147" s="253"/>
      <c r="B147" s="254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</row>
    <row r="148" spans="1:43" s="255" customFormat="1" ht="15" x14ac:dyDescent="0.2">
      <c r="A148" s="253"/>
      <c r="B148" s="254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</row>
    <row r="149" spans="1:43" s="255" customFormat="1" ht="15" x14ac:dyDescent="0.2">
      <c r="A149" s="253"/>
      <c r="B149" s="254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</row>
    <row r="150" spans="1:43" s="255" customFormat="1" ht="15" x14ac:dyDescent="0.2">
      <c r="A150" s="253"/>
      <c r="B150" s="254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</row>
    <row r="151" spans="1:43" s="255" customFormat="1" ht="15" x14ac:dyDescent="0.2">
      <c r="A151" s="253"/>
      <c r="B151" s="254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</row>
    <row r="152" spans="1:43" s="255" customFormat="1" ht="15" x14ac:dyDescent="0.2">
      <c r="A152" s="253"/>
      <c r="B152" s="254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</row>
    <row r="153" spans="1:43" s="255" customFormat="1" ht="15" x14ac:dyDescent="0.2">
      <c r="A153" s="253"/>
      <c r="B153" s="254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</row>
    <row r="154" spans="1:43" s="255" customFormat="1" ht="15" x14ac:dyDescent="0.2">
      <c r="A154" s="253"/>
      <c r="B154" s="254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3"/>
    </row>
    <row r="155" spans="1:43" s="255" customFormat="1" ht="15" x14ac:dyDescent="0.2">
      <c r="A155" s="253"/>
      <c r="B155" s="254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3"/>
    </row>
    <row r="156" spans="1:43" s="255" customFormat="1" ht="15" x14ac:dyDescent="0.2">
      <c r="A156" s="253"/>
      <c r="B156" s="254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</row>
    <row r="157" spans="1:43" s="255" customFormat="1" ht="15" x14ac:dyDescent="0.2">
      <c r="A157" s="253"/>
      <c r="B157" s="254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</row>
    <row r="158" spans="1:43" s="255" customFormat="1" ht="15" x14ac:dyDescent="0.2">
      <c r="A158" s="253"/>
      <c r="B158" s="254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</row>
    <row r="159" spans="1:43" s="255" customFormat="1" ht="15" x14ac:dyDescent="0.2">
      <c r="A159" s="253"/>
      <c r="B159" s="254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</row>
    <row r="160" spans="1:43" s="255" customFormat="1" ht="15" x14ac:dyDescent="0.2">
      <c r="A160" s="253"/>
      <c r="B160" s="254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</row>
    <row r="161" spans="1:43" s="255" customFormat="1" ht="15" x14ac:dyDescent="0.2">
      <c r="A161" s="253"/>
      <c r="B161" s="254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</row>
    <row r="162" spans="1:43" s="255" customFormat="1" ht="15" x14ac:dyDescent="0.2">
      <c r="A162" s="253"/>
      <c r="B162" s="254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</row>
    <row r="163" spans="1:43" s="255" customFormat="1" ht="15" x14ac:dyDescent="0.2">
      <c r="A163" s="253"/>
      <c r="B163" s="254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</row>
    <row r="164" spans="1:43" s="255" customFormat="1" ht="15" x14ac:dyDescent="0.2">
      <c r="A164" s="253"/>
      <c r="B164" s="254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</row>
    <row r="165" spans="1:43" s="255" customFormat="1" ht="15" x14ac:dyDescent="0.2">
      <c r="A165" s="253"/>
      <c r="B165" s="254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</row>
    <row r="166" spans="1:43" s="255" customFormat="1" ht="15" x14ac:dyDescent="0.2">
      <c r="A166" s="253"/>
      <c r="B166" s="254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</row>
    <row r="167" spans="1:43" s="255" customFormat="1" ht="15" x14ac:dyDescent="0.2">
      <c r="A167" s="253"/>
      <c r="B167" s="254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</row>
    <row r="168" spans="1:43" s="255" customFormat="1" ht="15" x14ac:dyDescent="0.2">
      <c r="A168" s="253"/>
      <c r="B168" s="254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</row>
    <row r="169" spans="1:43" s="255" customFormat="1" ht="15" x14ac:dyDescent="0.2">
      <c r="A169" s="253"/>
      <c r="B169" s="254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</row>
    <row r="170" spans="1:43" s="255" customFormat="1" ht="15" x14ac:dyDescent="0.2">
      <c r="A170" s="253"/>
      <c r="B170" s="254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</row>
    <row r="171" spans="1:43" s="255" customFormat="1" ht="15" x14ac:dyDescent="0.2">
      <c r="A171" s="253"/>
      <c r="B171" s="254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</row>
    <row r="172" spans="1:43" s="255" customFormat="1" ht="15" x14ac:dyDescent="0.2">
      <c r="A172" s="253"/>
      <c r="B172" s="254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</row>
    <row r="173" spans="1:43" s="255" customFormat="1" ht="15" x14ac:dyDescent="0.2">
      <c r="A173" s="253"/>
      <c r="B173" s="254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</row>
    <row r="174" spans="1:43" s="255" customFormat="1" ht="15" x14ac:dyDescent="0.2">
      <c r="A174" s="253"/>
      <c r="B174" s="254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</row>
    <row r="175" spans="1:43" s="255" customFormat="1" ht="15" x14ac:dyDescent="0.2">
      <c r="A175" s="253"/>
      <c r="B175" s="254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</row>
    <row r="176" spans="1:43" s="255" customFormat="1" ht="15" x14ac:dyDescent="0.2">
      <c r="A176" s="253"/>
      <c r="B176" s="254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</row>
    <row r="177" spans="1:43" s="255" customFormat="1" ht="15" x14ac:dyDescent="0.2">
      <c r="A177" s="253"/>
      <c r="B177" s="254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</row>
    <row r="178" spans="1:43" s="255" customFormat="1" ht="15" x14ac:dyDescent="0.2">
      <c r="A178" s="253"/>
      <c r="B178" s="254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</row>
    <row r="179" spans="1:43" s="255" customFormat="1" ht="15" x14ac:dyDescent="0.2">
      <c r="A179" s="253"/>
      <c r="B179" s="254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</row>
    <row r="180" spans="1:43" s="255" customFormat="1" ht="15" x14ac:dyDescent="0.2">
      <c r="A180" s="253"/>
      <c r="B180" s="254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</row>
    <row r="181" spans="1:43" s="255" customFormat="1" ht="15" x14ac:dyDescent="0.2">
      <c r="A181" s="253"/>
      <c r="B181" s="254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</row>
    <row r="182" spans="1:43" s="255" customFormat="1" ht="15" x14ac:dyDescent="0.2">
      <c r="A182" s="253"/>
      <c r="B182" s="254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</row>
    <row r="183" spans="1:43" s="255" customFormat="1" ht="15" x14ac:dyDescent="0.2">
      <c r="A183" s="253"/>
      <c r="B183" s="254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</row>
    <row r="184" spans="1:43" s="255" customFormat="1" ht="15" x14ac:dyDescent="0.2">
      <c r="A184" s="253"/>
      <c r="B184" s="254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</row>
    <row r="185" spans="1:43" s="255" customFormat="1" ht="15" x14ac:dyDescent="0.2">
      <c r="A185" s="253"/>
      <c r="B185" s="254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</row>
    <row r="186" spans="1:43" s="255" customFormat="1" ht="15" x14ac:dyDescent="0.2">
      <c r="A186" s="253"/>
      <c r="B186" s="254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</row>
    <row r="187" spans="1:43" s="255" customFormat="1" ht="15" x14ac:dyDescent="0.2">
      <c r="A187" s="253"/>
      <c r="B187" s="254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</row>
    <row r="188" spans="1:43" s="255" customFormat="1" ht="15" x14ac:dyDescent="0.2">
      <c r="A188" s="253"/>
      <c r="B188" s="254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</row>
    <row r="189" spans="1:43" s="255" customFormat="1" ht="15" x14ac:dyDescent="0.2">
      <c r="A189" s="253"/>
      <c r="B189" s="254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</row>
    <row r="190" spans="1:43" s="255" customFormat="1" ht="15" x14ac:dyDescent="0.2">
      <c r="A190" s="253"/>
      <c r="B190" s="254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</row>
    <row r="191" spans="1:43" s="255" customFormat="1" ht="15" x14ac:dyDescent="0.2">
      <c r="A191" s="253"/>
      <c r="B191" s="254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</row>
    <row r="192" spans="1:43" s="255" customFormat="1" ht="15" x14ac:dyDescent="0.2">
      <c r="A192" s="253"/>
      <c r="B192" s="254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</row>
    <row r="193" spans="1:43" s="255" customFormat="1" ht="15" x14ac:dyDescent="0.2">
      <c r="A193" s="253"/>
      <c r="B193" s="254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</row>
    <row r="194" spans="1:43" s="255" customFormat="1" ht="15" x14ac:dyDescent="0.2">
      <c r="A194" s="253"/>
      <c r="B194" s="254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</row>
    <row r="195" spans="1:43" s="255" customFormat="1" ht="15" x14ac:dyDescent="0.2">
      <c r="A195" s="253"/>
      <c r="B195" s="254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</row>
    <row r="196" spans="1:43" s="255" customFormat="1" ht="15" x14ac:dyDescent="0.2">
      <c r="A196" s="253"/>
      <c r="B196" s="254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</row>
    <row r="197" spans="1:43" s="255" customFormat="1" ht="15" x14ac:dyDescent="0.2">
      <c r="A197" s="253"/>
      <c r="B197" s="254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</row>
    <row r="198" spans="1:43" s="255" customFormat="1" ht="15" x14ac:dyDescent="0.2">
      <c r="A198" s="253"/>
      <c r="B198" s="254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</row>
    <row r="199" spans="1:43" s="255" customFormat="1" ht="15" x14ac:dyDescent="0.2">
      <c r="A199" s="253"/>
      <c r="B199" s="254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</row>
    <row r="200" spans="1:43" s="255" customFormat="1" ht="15" x14ac:dyDescent="0.2">
      <c r="A200" s="253"/>
      <c r="B200" s="254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</row>
    <row r="201" spans="1:43" s="255" customFormat="1" ht="15" x14ac:dyDescent="0.2">
      <c r="A201" s="253"/>
      <c r="B201" s="254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</row>
    <row r="202" spans="1:43" s="255" customFormat="1" ht="15" x14ac:dyDescent="0.2">
      <c r="A202" s="253"/>
      <c r="B202" s="254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</row>
    <row r="203" spans="1:43" s="255" customFormat="1" ht="15" x14ac:dyDescent="0.2">
      <c r="A203" s="253"/>
      <c r="B203" s="254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</row>
    <row r="204" spans="1:43" s="255" customFormat="1" ht="15" x14ac:dyDescent="0.2">
      <c r="A204" s="253"/>
      <c r="B204" s="254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</row>
    <row r="205" spans="1:43" s="255" customFormat="1" ht="15" x14ac:dyDescent="0.2">
      <c r="A205" s="253"/>
      <c r="B205" s="254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</row>
    <row r="206" spans="1:43" s="255" customFormat="1" ht="15" x14ac:dyDescent="0.2">
      <c r="A206" s="253"/>
      <c r="B206" s="254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</row>
    <row r="207" spans="1:43" s="255" customFormat="1" ht="15" x14ac:dyDescent="0.2">
      <c r="A207" s="253"/>
      <c r="B207" s="254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</row>
    <row r="208" spans="1:43" s="255" customFormat="1" ht="15" x14ac:dyDescent="0.2">
      <c r="A208" s="253"/>
      <c r="B208" s="254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</row>
    <row r="209" spans="1:43" s="255" customFormat="1" ht="15" x14ac:dyDescent="0.2">
      <c r="A209" s="253"/>
      <c r="B209" s="254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</row>
    <row r="210" spans="1:43" s="255" customFormat="1" ht="15" x14ac:dyDescent="0.2">
      <c r="A210" s="253"/>
      <c r="B210" s="254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</row>
    <row r="211" spans="1:43" s="255" customFormat="1" ht="15" x14ac:dyDescent="0.2">
      <c r="A211" s="253"/>
      <c r="B211" s="254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3"/>
    </row>
    <row r="212" spans="1:43" s="255" customFormat="1" ht="15" x14ac:dyDescent="0.2">
      <c r="A212" s="253"/>
      <c r="B212" s="254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</row>
    <row r="213" spans="1:43" s="255" customFormat="1" ht="15" x14ac:dyDescent="0.2">
      <c r="A213" s="253"/>
      <c r="B213" s="254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</row>
    <row r="214" spans="1:43" s="255" customFormat="1" ht="15" x14ac:dyDescent="0.2">
      <c r="A214" s="253"/>
      <c r="B214" s="254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</row>
    <row r="215" spans="1:43" s="255" customFormat="1" ht="15" x14ac:dyDescent="0.2">
      <c r="A215" s="253"/>
      <c r="B215" s="254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</row>
    <row r="216" spans="1:43" s="255" customFormat="1" ht="15" x14ac:dyDescent="0.2">
      <c r="A216" s="253"/>
      <c r="B216" s="254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</row>
    <row r="217" spans="1:43" s="255" customFormat="1" ht="15" x14ac:dyDescent="0.2">
      <c r="A217" s="253"/>
      <c r="B217" s="254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</row>
    <row r="218" spans="1:43" s="255" customFormat="1" ht="15" x14ac:dyDescent="0.2">
      <c r="A218" s="253"/>
      <c r="B218" s="254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</row>
    <row r="219" spans="1:43" s="255" customFormat="1" ht="15" x14ac:dyDescent="0.2">
      <c r="A219" s="253"/>
      <c r="B219" s="254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</row>
    <row r="220" spans="1:43" s="255" customFormat="1" ht="15" x14ac:dyDescent="0.2">
      <c r="A220" s="253"/>
      <c r="B220" s="254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</row>
    <row r="221" spans="1:43" s="255" customFormat="1" ht="15" x14ac:dyDescent="0.2">
      <c r="A221" s="253"/>
      <c r="B221" s="254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</row>
    <row r="222" spans="1:43" s="255" customFormat="1" ht="15" x14ac:dyDescent="0.2">
      <c r="A222" s="253"/>
      <c r="B222" s="254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</row>
    <row r="223" spans="1:43" s="255" customFormat="1" ht="15" x14ac:dyDescent="0.2">
      <c r="A223" s="253"/>
      <c r="B223" s="254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</row>
    <row r="224" spans="1:43" s="255" customFormat="1" ht="15" x14ac:dyDescent="0.2">
      <c r="A224" s="253"/>
      <c r="B224" s="254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 s="253"/>
      <c r="AI224" s="253"/>
      <c r="AJ224" s="253"/>
      <c r="AK224" s="253"/>
      <c r="AL224" s="253"/>
      <c r="AM224" s="253"/>
      <c r="AN224" s="253"/>
      <c r="AO224" s="253"/>
      <c r="AP224" s="253"/>
      <c r="AQ224" s="253"/>
    </row>
    <row r="225" spans="1:43" s="255" customFormat="1" ht="15" x14ac:dyDescent="0.2">
      <c r="A225" s="253"/>
      <c r="B225" s="254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 s="253"/>
      <c r="AI225" s="253"/>
      <c r="AJ225" s="253"/>
      <c r="AK225" s="253"/>
      <c r="AL225" s="253"/>
      <c r="AM225" s="253"/>
      <c r="AN225" s="253"/>
      <c r="AO225" s="253"/>
      <c r="AP225" s="253"/>
      <c r="AQ225" s="253"/>
    </row>
    <row r="226" spans="1:43" s="255" customFormat="1" ht="15" x14ac:dyDescent="0.2">
      <c r="A226" s="253"/>
      <c r="B226" s="254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</row>
    <row r="227" spans="1:43" s="255" customFormat="1" ht="15" x14ac:dyDescent="0.2">
      <c r="A227" s="253"/>
      <c r="B227" s="254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</row>
    <row r="228" spans="1:43" s="255" customFormat="1" ht="15" x14ac:dyDescent="0.2">
      <c r="A228" s="253"/>
      <c r="B228" s="254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</row>
    <row r="229" spans="1:43" s="255" customFormat="1" ht="15" x14ac:dyDescent="0.2">
      <c r="A229" s="253"/>
      <c r="B229" s="254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</row>
    <row r="230" spans="1:43" s="255" customFormat="1" ht="15" x14ac:dyDescent="0.2">
      <c r="A230" s="253"/>
      <c r="B230" s="254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</row>
    <row r="231" spans="1:43" s="255" customFormat="1" ht="15" x14ac:dyDescent="0.2">
      <c r="A231" s="253"/>
      <c r="B231" s="254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</row>
    <row r="232" spans="1:43" s="255" customFormat="1" x14ac:dyDescent="0.2">
      <c r="A232" s="253"/>
      <c r="B232" s="254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</row>
    <row r="233" spans="1:43" s="255" customFormat="1" x14ac:dyDescent="0.2">
      <c r="A233" s="253"/>
      <c r="B233" s="254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</row>
    <row r="234" spans="1:43" s="255" customFormat="1" x14ac:dyDescent="0.2">
      <c r="A234" s="253"/>
      <c r="B234" s="254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</row>
    <row r="235" spans="1:43" s="255" customFormat="1" x14ac:dyDescent="0.2">
      <c r="A235" s="253"/>
      <c r="B235" s="254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</row>
    <row r="236" spans="1:43" s="255" customFormat="1" x14ac:dyDescent="0.2">
      <c r="A236" s="253"/>
      <c r="B236" s="254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</row>
    <row r="237" spans="1:43" s="255" customFormat="1" x14ac:dyDescent="0.2">
      <c r="A237" s="253"/>
      <c r="B237" s="254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</row>
    <row r="238" spans="1:43" s="255" customFormat="1" x14ac:dyDescent="0.2">
      <c r="A238" s="253"/>
      <c r="B238" s="254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3"/>
      <c r="AG238" s="253"/>
      <c r="AH238" s="253"/>
      <c r="AI238" s="253"/>
      <c r="AJ238" s="253"/>
      <c r="AK238" s="253"/>
      <c r="AL238" s="253"/>
      <c r="AM238" s="253"/>
      <c r="AN238" s="253"/>
      <c r="AO238" s="253"/>
      <c r="AP238" s="253"/>
      <c r="AQ238" s="253"/>
    </row>
    <row r="239" spans="1:43" s="255" customFormat="1" x14ac:dyDescent="0.2">
      <c r="A239" s="253"/>
      <c r="B239" s="254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  <c r="AG239" s="253"/>
      <c r="AH239" s="253"/>
      <c r="AI239" s="253"/>
      <c r="AJ239" s="253"/>
      <c r="AK239" s="253"/>
      <c r="AL239" s="253"/>
      <c r="AM239" s="253"/>
      <c r="AN239" s="253"/>
      <c r="AO239" s="253"/>
      <c r="AP239" s="253"/>
      <c r="AQ239" s="253"/>
    </row>
    <row r="240" spans="1:43" s="255" customFormat="1" x14ac:dyDescent="0.2">
      <c r="A240" s="253"/>
      <c r="B240" s="254"/>
      <c r="C240" s="253"/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</row>
    <row r="241" spans="1:43" s="255" customFormat="1" x14ac:dyDescent="0.2">
      <c r="A241" s="253"/>
      <c r="B241" s="254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</row>
    <row r="242" spans="1:43" s="255" customFormat="1" x14ac:dyDescent="0.2">
      <c r="A242" s="253"/>
      <c r="B242" s="254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</row>
  </sheetData>
  <sheetProtection algorithmName="SHA-512" hashValue="sI55R7a4TmCaKYUPRT5Fy629Y5q3SXjPRSDDke9adxCq/gsWxcnWTLusGPNeYhgXqOj8xkg3K5rNu66PunfLdw==" saltValue="jjLp0pIDpwmns1/bFLkGww==" spinCount="100000" sheet="1" objects="1" scenarios="1"/>
  <mergeCells count="34">
    <mergeCell ref="B100:C100"/>
    <mergeCell ref="D100:F100"/>
    <mergeCell ref="B101:C101"/>
    <mergeCell ref="D101:F101"/>
    <mergeCell ref="B90:D90"/>
    <mergeCell ref="E90:G90"/>
    <mergeCell ref="H90:J90"/>
    <mergeCell ref="K90:M90"/>
    <mergeCell ref="B99:C99"/>
    <mergeCell ref="D99:F99"/>
    <mergeCell ref="A39:B39"/>
    <mergeCell ref="A48:B48"/>
    <mergeCell ref="A50:E50"/>
    <mergeCell ref="I54:J54"/>
    <mergeCell ref="H67:J67"/>
    <mergeCell ref="E68:F68"/>
    <mergeCell ref="H38:J38"/>
    <mergeCell ref="C9:D9"/>
    <mergeCell ref="C11:D11"/>
    <mergeCell ref="J11:K11"/>
    <mergeCell ref="J12:K12"/>
    <mergeCell ref="A13:D13"/>
    <mergeCell ref="C14:D14"/>
    <mergeCell ref="C15:D15"/>
    <mergeCell ref="C16:D16"/>
    <mergeCell ref="A22:B22"/>
    <mergeCell ref="A34:A35"/>
    <mergeCell ref="B34:M35"/>
    <mergeCell ref="C7:D7"/>
    <mergeCell ref="C1:L1"/>
    <mergeCell ref="B2:E2"/>
    <mergeCell ref="G2:H2"/>
    <mergeCell ref="K2:L2"/>
    <mergeCell ref="A5:B5"/>
  </mergeCells>
  <conditionalFormatting sqref="C93">
    <cfRule type="containsText" dxfId="19" priority="5" stopIfTrue="1" operator="containsText" text="No">
      <formula>NOT(ISERROR(SEARCH("No",C93)))</formula>
    </cfRule>
  </conditionalFormatting>
  <conditionalFormatting sqref="C95 F95 I95 C97 F97 I97">
    <cfRule type="containsText" dxfId="18" priority="4" stopIfTrue="1" operator="containsText" text="No">
      <formula>NOT(ISERROR(SEARCH("No",C95)))</formula>
    </cfRule>
  </conditionalFormatting>
  <conditionalFormatting sqref="D67:H67 K67:L67">
    <cfRule type="containsText" dxfId="17" priority="10" operator="containsText" text="(4) The indicated Market Contribution exceeds the Maximal Market Contribution.">
      <formula>NOT(ISERROR(SEARCH("(4) The indicated Market Contribution exceeds the Maximal Market Contribution.",D67)))</formula>
    </cfRule>
  </conditionalFormatting>
  <conditionalFormatting sqref="E13">
    <cfRule type="expression" dxfId="16" priority="3">
      <formula>L68&lt;&gt;2</formula>
    </cfRule>
  </conditionalFormatting>
  <conditionalFormatting sqref="E14">
    <cfRule type="containsText" dxfId="15" priority="7" operator="containsText" text="Non">
      <formula>NOT(ISERROR(SEARCH("Non",E14)))</formula>
    </cfRule>
  </conditionalFormatting>
  <conditionalFormatting sqref="E70:F72 E74:F75 E77:F77 E79:F85 E87:F87">
    <cfRule type="containsText" dxfId="14" priority="11" operator="containsText" text="No">
      <formula>NOT(ISERROR(SEARCH("No",E70)))</formula>
    </cfRule>
  </conditionalFormatting>
  <conditionalFormatting sqref="F86">
    <cfRule type="containsText" dxfId="13" priority="2" operator="containsText" text="No">
      <formula>NOT(ISERROR(SEARCH("No",F86)))</formula>
    </cfRule>
  </conditionalFormatting>
  <conditionalFormatting sqref="F93 I93">
    <cfRule type="containsText" dxfId="12" priority="8" stopIfTrue="1" operator="containsText" text="No">
      <formula>NOT(ISERROR(SEARCH("No",F93)))</formula>
    </cfRule>
  </conditionalFormatting>
  <conditionalFormatting sqref="H48:J48 H49:K49">
    <cfRule type="expression" dxfId="11" priority="9">
      <formula>$K$48&lt;&gt;""</formula>
    </cfRule>
  </conditionalFormatting>
  <conditionalFormatting sqref="K48">
    <cfRule type="expression" dxfId="10" priority="1">
      <formula>$I$40&lt;&gt;""</formula>
    </cfRule>
  </conditionalFormatting>
  <conditionalFormatting sqref="L93 L95 L97">
    <cfRule type="containsText" dxfId="9" priority="6" stopIfTrue="1" operator="containsText" text="No">
      <formula>NOT(ISERROR(SEARCH("No",L93)))</formula>
    </cfRule>
  </conditionalFormatting>
  <dataValidations count="12">
    <dataValidation type="decimal" allowBlank="1" showInputMessage="1" showErrorMessage="1" errorTitle="Not a number" error="Enter the Envelope Contribution for this licence" sqref="D24:D25" xr:uid="{C45094B4-A319-42F6-A303-CBC454158F16}">
      <formula1>0</formula1>
      <formula2>999999999999999</formula2>
    </dataValidation>
    <dataValidation type="whole" allowBlank="1" showInputMessage="1" showErrorMessage="1" errorTitle="Not a number" error="Enter the Envelope Contribution for this licence" sqref="E47" xr:uid="{EE9472C9-3916-4985-8EFD-4378E319257C}">
      <formula1>0</formula1>
      <formula2>999999999999999</formula2>
    </dataValidation>
    <dataValidation type="whole" allowBlank="1" showInputMessage="1" showErrorMessage="1" error="le montanmt doit être égale ou plus petit que le maximum permis (15% du budget ou 225 000)_x000a__x000a__x000a_" sqref="D33" xr:uid="{4D384F14-42F8-48B3-A970-F16542D6F3EF}">
      <formula1>0</formula1>
      <formula2>C33</formula2>
    </dataValidation>
    <dataValidation type="list" allowBlank="1" showInputMessage="1" showErrorMessage="1" sqref="E13" xr:uid="{1E8DAF10-5875-4E07-BFC5-2C6B4141D985}">
      <formula1>IF($L$68=2,$K$69:$K$71,$K$71)</formula1>
    </dataValidation>
    <dataValidation type="list" allowBlank="1" showInputMessage="1" showErrorMessage="1" sqref="E10" xr:uid="{CADE1602-CB42-4B9A-8AD6-B6EE448C7861}">
      <formula1>$L$77:$L$79</formula1>
    </dataValidation>
    <dataValidation type="list" allowBlank="1" showInputMessage="1" showErrorMessage="1" sqref="E14 E11 E9" xr:uid="{E0B83B3E-F93D-4787-A592-2F69E7FDFE45}">
      <formula1>$K$69:$K$71</formula1>
    </dataValidation>
    <dataValidation allowBlank="1" showInputMessage="1" showErrorMessage="1" prompt="Please enter first the broadcasters, see note (1) here-above" sqref="E24:G24" xr:uid="{3E3A3D25-E6E3-4547-90A3-0F2158114E64}"/>
    <dataValidation type="date" allowBlank="1" showInputMessage="1" showErrorMessage="1" promptTitle="Date" prompt="ex. Y-M-D" sqref="H24:H29" xr:uid="{F2EC063A-9B0A-4FAE-B67E-9B33778304F1}">
      <formula1>36526</formula1>
      <formula2>401749</formula2>
    </dataValidation>
    <dataValidation type="whole" allowBlank="1" showInputMessage="1" showErrorMessage="1" promptTitle="# of months" prompt="Enter the licence term in months. Equations are allowable (i.e. =6*12)" sqref="J24:J29" xr:uid="{8371DEAB-7680-4C55-8F63-4EE02062887E}">
      <formula1>1</formula1>
      <formula2>999</formula2>
    </dataValidation>
    <dataValidation type="whole" allowBlank="1" showInputMessage="1" showErrorMessage="1" sqref="K24:K29" xr:uid="{63E7E432-EC1F-421D-8748-633074EB38A0}">
      <formula1>0</formula1>
      <formula2>999</formula2>
    </dataValidation>
    <dataValidation allowBlank="1" showInputMessage="1" showErrorMessage="1" promptTitle="Intl. Entity MMC" prompt="For C&amp;Y the ELF and MMC must be at least 75% of Threshold. Also see note (3)." sqref="K48" xr:uid="{1D0FC80D-FCEB-429A-94F3-CAEAD38010AB}"/>
    <dataValidation type="custom" showInputMessage="1" showErrorMessage="1" error="Please do not delete" sqref="L68 A68" xr:uid="{D07905B4-5216-44DD-A905-A2E1C0E43AA8}">
      <formula1>""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0" fitToHeight="3" orientation="landscape" r:id="rId1"/>
  <headerFooter alignWithMargins="0"/>
  <rowBreaks count="2" manualBreakCount="2">
    <brk id="37" max="10" man="1"/>
    <brk id="6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locked="0" defaultSize="0" autoLine="0" autoPict="0">
                <anchor moveWithCells="1">
                  <from>
                    <xdr:col>2</xdr:col>
                    <xdr:colOff>19050</xdr:colOff>
                    <xdr:row>3</xdr:row>
                    <xdr:rowOff>266700</xdr:rowOff>
                  </from>
                  <to>
                    <xdr:col>5</xdr:col>
                    <xdr:colOff>619125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locked="0" defaultSize="0" autoLine="0" autoPict="0">
                <anchor moveWithCells="1">
                  <from>
                    <xdr:col>1</xdr:col>
                    <xdr:colOff>914400</xdr:colOff>
                    <xdr:row>11</xdr:row>
                    <xdr:rowOff>38100</xdr:rowOff>
                  </from>
                  <to>
                    <xdr:col>3</xdr:col>
                    <xdr:colOff>914400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6CC8-A47E-4AE2-AD4A-6504B30FD9E5}">
  <sheetPr codeName="Feuil2">
    <tabColor rgb="FF00B0F0"/>
  </sheetPr>
  <dimension ref="A1:AQ237"/>
  <sheetViews>
    <sheetView zoomScaleNormal="100" zoomScaleSheetLayoutView="100" workbookViewId="0">
      <selection activeCell="B2" sqref="B2:E2"/>
    </sheetView>
  </sheetViews>
  <sheetFormatPr baseColWidth="10" defaultColWidth="8.88671875" defaultRowHeight="12.75" x14ac:dyDescent="0.2"/>
  <cols>
    <col min="1" max="1" width="10.5546875" style="13" customWidth="1"/>
    <col min="2" max="2" width="17.6640625" style="14" customWidth="1"/>
    <col min="3" max="4" width="13.44140625" style="13" customWidth="1"/>
    <col min="5" max="9" width="12.33203125" style="13" customWidth="1"/>
    <col min="10" max="11" width="10.77734375" style="13" customWidth="1"/>
    <col min="12" max="12" width="10.88671875" style="13" customWidth="1"/>
    <col min="13" max="14" width="11.77734375" style="13" customWidth="1"/>
    <col min="15" max="15" width="9.6640625" style="13" customWidth="1"/>
    <col min="16" max="16" width="10.77734375" style="13" hidden="1" customWidth="1"/>
    <col min="17" max="17" width="11.33203125" style="13" hidden="1" customWidth="1"/>
    <col min="18" max="18" width="8.88671875" style="13" hidden="1" customWidth="1"/>
    <col min="19" max="19" width="0" style="13" hidden="1" customWidth="1"/>
    <col min="20" max="43" width="8.88671875" style="13"/>
    <col min="44" max="16384" width="8.88671875" style="66"/>
  </cols>
  <sheetData>
    <row r="1" spans="1:38" s="119" customFormat="1" ht="71.45" customHeight="1" x14ac:dyDescent="0.25">
      <c r="A1" s="116"/>
      <c r="B1" s="117"/>
      <c r="C1" s="450" t="s">
        <v>73</v>
      </c>
      <c r="D1" s="450"/>
      <c r="E1" s="450"/>
      <c r="F1" s="450"/>
      <c r="G1" s="450"/>
      <c r="H1" s="450"/>
      <c r="I1" s="450"/>
      <c r="J1" s="450"/>
      <c r="K1" s="450"/>
      <c r="L1" s="451"/>
      <c r="M1" s="118"/>
      <c r="N1" s="118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s="20" customFormat="1" ht="32.1" customHeight="1" x14ac:dyDescent="0.2">
      <c r="A2" s="102" t="s">
        <v>74</v>
      </c>
      <c r="B2" s="452"/>
      <c r="C2" s="453"/>
      <c r="D2" s="453"/>
      <c r="E2" s="454"/>
      <c r="F2" s="102" t="s">
        <v>75</v>
      </c>
      <c r="G2" s="452"/>
      <c r="H2" s="456"/>
      <c r="I2" s="102"/>
      <c r="J2" s="103" t="s">
        <v>76</v>
      </c>
      <c r="K2" s="455"/>
      <c r="L2" s="456"/>
      <c r="M2" s="15"/>
    </row>
    <row r="3" spans="1:38" s="20" customFormat="1" ht="24" customHeight="1" x14ac:dyDescent="0.2">
      <c r="A3" s="57" t="s">
        <v>77</v>
      </c>
      <c r="B3" s="17"/>
      <c r="C3" s="54"/>
      <c r="D3" s="37"/>
      <c r="G3" s="56"/>
      <c r="K3" s="27"/>
      <c r="L3" s="27"/>
      <c r="M3" s="15"/>
    </row>
    <row r="4" spans="1:38" s="13" customFormat="1" ht="17.100000000000001" customHeight="1" x14ac:dyDescent="0.2">
      <c r="A4" s="52"/>
      <c r="B4" s="52"/>
      <c r="C4" s="52"/>
      <c r="G4" s="55"/>
      <c r="H4" s="55"/>
      <c r="I4" s="55"/>
      <c r="J4" s="55"/>
      <c r="K4" s="55"/>
      <c r="L4" s="55"/>
      <c r="M4" s="54"/>
    </row>
    <row r="5" spans="1:38" s="13" customFormat="1" ht="24" customHeight="1" x14ac:dyDescent="0.2">
      <c r="A5" s="460" t="s">
        <v>78</v>
      </c>
      <c r="B5" s="461"/>
      <c r="C5" s="16"/>
      <c r="D5" s="46"/>
      <c r="E5" s="46"/>
      <c r="G5" s="55"/>
      <c r="H5" s="55"/>
      <c r="I5" s="55"/>
      <c r="J5" s="55"/>
      <c r="K5" s="55"/>
      <c r="L5" s="55"/>
      <c r="M5" s="54"/>
    </row>
    <row r="6" spans="1:38" s="13" customFormat="1" ht="17.100000000000001" customHeight="1" x14ac:dyDescent="0.2">
      <c r="A6" s="16"/>
      <c r="B6" s="16"/>
      <c r="C6" s="16"/>
      <c r="D6" s="48"/>
      <c r="E6" s="48"/>
      <c r="F6" s="50"/>
      <c r="G6" s="16"/>
      <c r="H6" s="16"/>
      <c r="I6" s="16"/>
      <c r="J6" s="48"/>
      <c r="K6" s="48"/>
      <c r="L6" s="50"/>
      <c r="M6" s="16"/>
    </row>
    <row r="7" spans="1:38" s="13" customFormat="1" ht="30" customHeight="1" x14ac:dyDescent="0.2">
      <c r="A7" s="53"/>
      <c r="B7" s="53" t="s">
        <v>36</v>
      </c>
      <c r="C7" s="408" t="s">
        <v>79</v>
      </c>
      <c r="D7" s="459"/>
      <c r="E7" s="81"/>
      <c r="F7" s="52" t="s">
        <v>80</v>
      </c>
      <c r="G7" s="82"/>
      <c r="I7" s="105" t="s">
        <v>81</v>
      </c>
      <c r="J7" s="82"/>
      <c r="K7" s="52" t="s">
        <v>82</v>
      </c>
      <c r="L7" s="120">
        <f>(G7*J7)/60</f>
        <v>0</v>
      </c>
      <c r="M7" s="51"/>
    </row>
    <row r="8" spans="1:38" s="16" customFormat="1" ht="20.100000000000001" customHeight="1" x14ac:dyDescent="0.2">
      <c r="D8" s="48"/>
      <c r="E8" s="48"/>
      <c r="F8" s="50"/>
      <c r="K8" s="49" t="s">
        <v>83</v>
      </c>
      <c r="L8" s="121">
        <f>IF(L7=0,0,$E$7/$L$7)</f>
        <v>0</v>
      </c>
    </row>
    <row r="9" spans="1:38" s="16" customFormat="1" ht="30" customHeight="1" x14ac:dyDescent="0.2">
      <c r="C9" s="457" t="s">
        <v>84</v>
      </c>
      <c r="D9" s="458"/>
      <c r="E9" s="42"/>
      <c r="F9" s="4">
        <f>IF(E9="Oui",60%,49%)</f>
        <v>0.49</v>
      </c>
      <c r="G9" s="71"/>
      <c r="H9" s="47"/>
      <c r="I9" s="47"/>
      <c r="J9" s="47"/>
      <c r="K9" s="47"/>
      <c r="L9" s="47"/>
    </row>
    <row r="10" spans="1:38" s="16" customFormat="1" x14ac:dyDescent="0.2">
      <c r="D10" s="48"/>
      <c r="E10" s="48"/>
      <c r="F10" s="50"/>
      <c r="K10" s="49"/>
      <c r="L10" s="49"/>
    </row>
    <row r="11" spans="1:38" s="16" customFormat="1" ht="30" customHeight="1" x14ac:dyDescent="0.2">
      <c r="C11" s="391" t="s">
        <v>86</v>
      </c>
      <c r="D11" s="392"/>
      <c r="E11" s="12"/>
      <c r="F11" s="47"/>
      <c r="G11" s="47"/>
      <c r="H11" s="47"/>
      <c r="I11" s="47"/>
      <c r="J11" s="401" t="s">
        <v>88</v>
      </c>
      <c r="K11" s="402"/>
      <c r="L11" s="126" t="str">
        <f>IF(OR(A68=1,A68=18,N(E$7)=0,L$8=0),"",
IF(AND(AND(A$68&gt;11,A$68&lt;16),L8&gt;=800000),"Oui",
IF(AND(OR(A$68=2,A$68=3,A$68=10,A$68=11),L8&gt;=750000),"Oui",
IF(AND(AND(A$68&gt;5,A$68&lt;10),L8&gt;=400000),"Oui",
"Non"))))</f>
        <v/>
      </c>
      <c r="M11" s="127" t="str">
        <f>IFERROR(IF(L11="Oui","S/O pour les productions d’animation",""),"")</f>
        <v/>
      </c>
    </row>
    <row r="12" spans="1:38" s="16" customFormat="1" ht="30" customHeight="1" x14ac:dyDescent="0.2">
      <c r="C12" s="2"/>
      <c r="D12" s="2"/>
      <c r="E12" s="72"/>
      <c r="F12" s="47"/>
      <c r="G12" s="47"/>
      <c r="H12" s="47"/>
      <c r="I12" s="47"/>
      <c r="J12" s="401" t="s">
        <v>89</v>
      </c>
      <c r="K12" s="402"/>
      <c r="L12" s="8" t="str">
        <f>IF(N(E$7)=0,"",IF(E$7&gt;500000,"Oui","Non"))</f>
        <v/>
      </c>
      <c r="M12" s="127" t="str">
        <f>IFERROR(IF(L12="Oui","S/O pour les productions tournées en direct",""),"")</f>
        <v/>
      </c>
    </row>
    <row r="13" spans="1:38" s="16" customFormat="1" ht="17.100000000000001" customHeight="1" x14ac:dyDescent="0.2">
      <c r="C13" s="46"/>
      <c r="D13" s="48"/>
      <c r="E13" s="48"/>
      <c r="F13" s="48"/>
      <c r="G13" s="47"/>
      <c r="H13" s="47"/>
      <c r="I13" s="47"/>
      <c r="J13" s="47"/>
      <c r="K13" s="47"/>
      <c r="L13" s="47"/>
    </row>
    <row r="14" spans="1:38" s="85" customFormat="1" ht="30" customHeight="1" x14ac:dyDescent="0.2">
      <c r="B14" s="86"/>
      <c r="C14" s="411" t="s">
        <v>90</v>
      </c>
      <c r="D14" s="412"/>
      <c r="E14" s="7"/>
      <c r="F14" s="87"/>
      <c r="G14"/>
      <c r="H14"/>
      <c r="I14"/>
      <c r="J14"/>
      <c r="K14" s="88"/>
      <c r="L14" s="87"/>
      <c r="M14" s="87"/>
    </row>
    <row r="15" spans="1:38" s="85" customFormat="1" ht="30" customHeight="1" x14ac:dyDescent="0.2">
      <c r="B15" s="86"/>
      <c r="C15" s="411" t="s">
        <v>91</v>
      </c>
      <c r="D15" s="412"/>
      <c r="E15" s="354">
        <f>IF(E14="Oui",C30-E16,0)</f>
        <v>0</v>
      </c>
      <c r="F15" s="87"/>
      <c r="I15" s="89"/>
      <c r="J15" s="87"/>
      <c r="K15" s="87"/>
      <c r="L15" s="87"/>
      <c r="M15" s="87"/>
    </row>
    <row r="16" spans="1:38" s="89" customFormat="1" ht="30" customHeight="1" x14ac:dyDescent="0.2">
      <c r="B16" s="86"/>
      <c r="C16" s="411" t="s">
        <v>92</v>
      </c>
      <c r="D16" s="412"/>
      <c r="E16" s="122"/>
      <c r="F16" s="87"/>
      <c r="J16" s="84"/>
      <c r="K16" s="88"/>
      <c r="L16" s="84"/>
      <c r="M16" s="84"/>
    </row>
    <row r="17" spans="1:12" s="85" customFormat="1" ht="15" hidden="1" x14ac:dyDescent="0.2">
      <c r="A17" s="90"/>
      <c r="B17" s="91"/>
      <c r="C17" s="91"/>
      <c r="D17" s="91"/>
      <c r="F17" s="92"/>
      <c r="G17" s="92"/>
      <c r="H17" s="92"/>
      <c r="I17" s="89"/>
      <c r="J17" s="87"/>
      <c r="K17" s="87"/>
      <c r="L17" s="87"/>
    </row>
    <row r="18" spans="1:12" s="85" customFormat="1" ht="17.100000000000001" customHeight="1" x14ac:dyDescent="0.2">
      <c r="A18" s="77"/>
      <c r="B18" s="91"/>
      <c r="C18" s="91"/>
      <c r="D18" s="91"/>
      <c r="F18" s="92"/>
      <c r="G18" s="92"/>
      <c r="H18" s="92"/>
      <c r="I18" s="89"/>
      <c r="J18" s="87"/>
      <c r="K18" s="87"/>
      <c r="L18" s="87"/>
    </row>
    <row r="19" spans="1:12" s="16" customFormat="1" ht="17.100000000000001" customHeight="1" x14ac:dyDescent="0.2">
      <c r="A19" s="379" t="s">
        <v>241</v>
      </c>
      <c r="B19" s="28"/>
      <c r="C19" s="35"/>
      <c r="E19" s="15"/>
      <c r="F19" s="15"/>
      <c r="G19" s="34"/>
      <c r="J19" s="15"/>
    </row>
    <row r="20" spans="1:12" s="16" customFormat="1" ht="17.100000000000001" customHeight="1" x14ac:dyDescent="0.2">
      <c r="A20" s="77" t="s">
        <v>93</v>
      </c>
      <c r="B20" s="28"/>
      <c r="C20" s="35"/>
      <c r="E20" s="15"/>
      <c r="F20" s="15"/>
      <c r="G20" s="34"/>
      <c r="J20" s="15"/>
    </row>
    <row r="21" spans="1:12" s="16" customFormat="1" ht="17.100000000000001" customHeight="1" x14ac:dyDescent="0.2">
      <c r="A21" s="65" t="s">
        <v>94</v>
      </c>
      <c r="D21" s="28"/>
      <c r="E21" s="45"/>
      <c r="F21" s="45"/>
      <c r="G21" s="44"/>
      <c r="H21" s="380"/>
      <c r="I21" s="381"/>
      <c r="J21" s="384" t="s">
        <v>95</v>
      </c>
      <c r="K21" s="382"/>
      <c r="L21" s="383"/>
    </row>
    <row r="22" spans="1:12" s="16" customFormat="1" ht="92.25" customHeight="1" x14ac:dyDescent="0.2">
      <c r="A22" s="468" t="s">
        <v>193</v>
      </c>
      <c r="B22" s="469"/>
      <c r="C22" s="43" t="s">
        <v>96</v>
      </c>
      <c r="D22" s="261" t="s">
        <v>240</v>
      </c>
      <c r="E22" s="95" t="s">
        <v>97</v>
      </c>
      <c r="F22" s="11" t="s">
        <v>98</v>
      </c>
      <c r="G22" s="11" t="s">
        <v>192</v>
      </c>
      <c r="H22" s="68" t="s">
        <v>99</v>
      </c>
      <c r="I22" s="68" t="s">
        <v>100</v>
      </c>
      <c r="J22" s="19" t="s">
        <v>101</v>
      </c>
      <c r="K22" s="260" t="s">
        <v>102</v>
      </c>
      <c r="L22" s="19" t="s">
        <v>103</v>
      </c>
    </row>
    <row r="23" spans="1:12" s="16" customFormat="1" ht="18" customHeight="1" x14ac:dyDescent="0.2">
      <c r="A23" s="93"/>
      <c r="B23" s="94" t="s">
        <v>104</v>
      </c>
      <c r="C23" s="270">
        <f>$E$16</f>
        <v>0</v>
      </c>
      <c r="D23" s="96"/>
      <c r="E23" s="97"/>
      <c r="F23" s="79"/>
      <c r="G23" s="79"/>
      <c r="H23" s="97"/>
      <c r="I23" s="97"/>
      <c r="J23" s="98"/>
      <c r="K23" s="98"/>
      <c r="L23" s="99"/>
    </row>
    <row r="24" spans="1:12" s="16" customFormat="1" ht="18" customHeight="1" x14ac:dyDescent="0.2">
      <c r="A24" s="21" t="s">
        <v>105</v>
      </c>
      <c r="B24" s="9"/>
      <c r="C24" s="76"/>
      <c r="D24" s="76"/>
      <c r="E24" s="75"/>
      <c r="F24" s="75"/>
      <c r="G24" s="75"/>
      <c r="H24" s="385"/>
      <c r="I24" s="128">
        <f t="shared" ref="I24:I29" si="0">DATE(YEAR(H24),(MONTH(H24)+J24),DAY(H24))</f>
        <v>0</v>
      </c>
      <c r="J24" s="41"/>
      <c r="K24" s="40"/>
      <c r="L24" s="40"/>
    </row>
    <row r="25" spans="1:12" s="16" customFormat="1" ht="18" customHeight="1" x14ac:dyDescent="0.2">
      <c r="A25" s="21" t="s">
        <v>106</v>
      </c>
      <c r="B25" s="9"/>
      <c r="C25" s="76"/>
      <c r="D25" s="76"/>
      <c r="E25" s="76"/>
      <c r="F25" s="76"/>
      <c r="G25" s="76"/>
      <c r="H25" s="385"/>
      <c r="I25" s="128">
        <f t="shared" si="0"/>
        <v>0</v>
      </c>
      <c r="J25" s="41"/>
      <c r="K25" s="40"/>
      <c r="L25" s="40"/>
    </row>
    <row r="26" spans="1:12" s="16" customFormat="1" ht="18" customHeight="1" x14ac:dyDescent="0.2">
      <c r="A26" s="21" t="s">
        <v>107</v>
      </c>
      <c r="B26" s="9"/>
      <c r="C26" s="76"/>
      <c r="D26" s="76"/>
      <c r="E26" s="76"/>
      <c r="F26" s="76"/>
      <c r="G26" s="76"/>
      <c r="H26" s="385"/>
      <c r="I26" s="128">
        <f t="shared" si="0"/>
        <v>0</v>
      </c>
      <c r="J26" s="41"/>
      <c r="K26" s="40"/>
      <c r="L26" s="40"/>
    </row>
    <row r="27" spans="1:12" s="16" customFormat="1" ht="18" customHeight="1" x14ac:dyDescent="0.2">
      <c r="A27" s="21" t="s">
        <v>108</v>
      </c>
      <c r="B27" s="9"/>
      <c r="C27" s="76"/>
      <c r="D27" s="76"/>
      <c r="E27" s="76"/>
      <c r="F27" s="76"/>
      <c r="G27" s="76"/>
      <c r="H27" s="385"/>
      <c r="I27" s="128">
        <f t="shared" si="0"/>
        <v>0</v>
      </c>
      <c r="J27" s="41"/>
      <c r="K27" s="40"/>
      <c r="L27" s="40"/>
    </row>
    <row r="28" spans="1:12" s="16" customFormat="1" ht="18" customHeight="1" x14ac:dyDescent="0.2">
      <c r="A28" s="21" t="s">
        <v>109</v>
      </c>
      <c r="B28" s="9"/>
      <c r="C28" s="76"/>
      <c r="D28" s="76"/>
      <c r="E28" s="76"/>
      <c r="F28" s="76"/>
      <c r="G28" s="76"/>
      <c r="H28" s="385"/>
      <c r="I28" s="128">
        <f t="shared" si="0"/>
        <v>0</v>
      </c>
      <c r="J28" s="41"/>
      <c r="K28" s="40"/>
      <c r="L28" s="40"/>
    </row>
    <row r="29" spans="1:12" s="16" customFormat="1" ht="18" customHeight="1" thickBot="1" x14ac:dyDescent="0.25">
      <c r="A29" s="19" t="s">
        <v>110</v>
      </c>
      <c r="B29" s="9"/>
      <c r="C29" s="76"/>
      <c r="D29" s="76"/>
      <c r="E29" s="76"/>
      <c r="F29" s="76"/>
      <c r="G29" s="76"/>
      <c r="H29" s="385"/>
      <c r="I29" s="128">
        <f t="shared" si="0"/>
        <v>0</v>
      </c>
      <c r="J29" s="41"/>
      <c r="K29" s="40"/>
      <c r="L29" s="40"/>
    </row>
    <row r="30" spans="1:12" s="16" customFormat="1" ht="24.95" customHeight="1" thickBot="1" x14ac:dyDescent="0.25">
      <c r="A30" s="39"/>
      <c r="B30" s="38" t="s">
        <v>111</v>
      </c>
      <c r="C30" s="63">
        <f>SUM(C23:C29)</f>
        <v>0</v>
      </c>
      <c r="D30" s="63">
        <f>SUM(D24:D29)</f>
        <v>0</v>
      </c>
      <c r="E30" s="63">
        <f>SUM(E24:E29)</f>
        <v>0</v>
      </c>
      <c r="F30" s="63">
        <f>SUM(F24:F29)</f>
        <v>0</v>
      </c>
      <c r="G30" s="63">
        <f>SUM(G24:G29)</f>
        <v>0</v>
      </c>
      <c r="K30" s="26"/>
      <c r="L30" s="26"/>
    </row>
    <row r="31" spans="1:12" s="37" customFormat="1" ht="18.75" customHeigh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customFormat="1" ht="15" hidden="1" x14ac:dyDescent="0.2"/>
    <row r="33" spans="1:19" customFormat="1" ht="15" hidden="1" x14ac:dyDescent="0.2">
      <c r="A33" s="36"/>
      <c r="B33" s="28"/>
      <c r="C33" s="35"/>
      <c r="D33" s="16"/>
      <c r="E33" s="15"/>
      <c r="F33" s="15"/>
      <c r="G33" s="34"/>
      <c r="H33" s="16"/>
      <c r="I33" s="16"/>
      <c r="J33" s="15"/>
      <c r="K33" s="16"/>
      <c r="L33" s="16"/>
    </row>
    <row r="34" spans="1:19" s="16" customFormat="1" ht="24" customHeight="1" x14ac:dyDescent="0.2">
      <c r="A34" s="474" t="s">
        <v>112</v>
      </c>
      <c r="B34" s="476"/>
      <c r="C34" s="477"/>
      <c r="D34" s="477"/>
      <c r="E34" s="477"/>
      <c r="F34" s="477"/>
      <c r="G34" s="477"/>
      <c r="H34" s="477"/>
      <c r="I34" s="477"/>
      <c r="J34" s="477"/>
      <c r="K34" s="477"/>
      <c r="L34" s="478"/>
      <c r="N34" s="15"/>
      <c r="O34" s="15"/>
      <c r="P34" s="15"/>
      <c r="Q34" s="15"/>
      <c r="R34" s="15"/>
    </row>
    <row r="35" spans="1:19" s="16" customFormat="1" ht="24" customHeight="1" x14ac:dyDescent="0.2">
      <c r="A35" s="475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80"/>
      <c r="M35" s="100"/>
      <c r="N35" s="101"/>
      <c r="O35" s="20"/>
      <c r="P35" s="20"/>
      <c r="Q35" s="15"/>
      <c r="R35" s="15"/>
    </row>
    <row r="36" spans="1:19" s="16" customFormat="1" ht="18.75" hidden="1" customHeight="1" x14ac:dyDescent="0.2">
      <c r="A36" s="60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00"/>
      <c r="N36" s="101"/>
      <c r="O36" s="20"/>
      <c r="P36" s="20"/>
      <c r="Q36" s="15"/>
      <c r="R36" s="15"/>
    </row>
    <row r="37" spans="1:19" s="16" customFormat="1" ht="18.75" customHeight="1" x14ac:dyDescent="0.2">
      <c r="A37" s="3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5"/>
      <c r="O37" s="15"/>
      <c r="P37" s="15"/>
      <c r="Q37" s="15"/>
      <c r="R37" s="15"/>
    </row>
    <row r="38" spans="1:19" s="67" customFormat="1" ht="15.75" x14ac:dyDescent="0.25">
      <c r="A38" s="25" t="s">
        <v>113</v>
      </c>
      <c r="B38" s="32"/>
      <c r="C38" s="31"/>
      <c r="D38" s="31"/>
      <c r="E38" s="31"/>
      <c r="F38" s="31"/>
      <c r="G38" s="30"/>
      <c r="H38" s="464" t="s">
        <v>114</v>
      </c>
      <c r="I38" s="465"/>
      <c r="J38" s="466"/>
      <c r="K38" s="30"/>
      <c r="L38" s="29"/>
      <c r="M38"/>
      <c r="N38"/>
      <c r="O38" s="13"/>
      <c r="P38" s="13"/>
      <c r="Q38" s="13"/>
      <c r="R38" s="13"/>
    </row>
    <row r="39" spans="1:19" s="16" customFormat="1" ht="81" customHeight="1" x14ac:dyDescent="0.2">
      <c r="A39" s="468" t="s">
        <v>194</v>
      </c>
      <c r="B39" s="469"/>
      <c r="C39" s="129" t="s">
        <v>115</v>
      </c>
      <c r="D39" s="129" t="s">
        <v>116</v>
      </c>
      <c r="E39" s="130" t="s">
        <v>117</v>
      </c>
      <c r="F39" s="130" t="s">
        <v>118</v>
      </c>
      <c r="G39" s="264" t="s">
        <v>119</v>
      </c>
      <c r="H39" s="262" t="s">
        <v>120</v>
      </c>
      <c r="I39" s="263" t="s">
        <v>121</v>
      </c>
      <c r="J39" s="285" t="s">
        <v>195</v>
      </c>
      <c r="K39" s="265" t="s">
        <v>122</v>
      </c>
      <c r="L39" s="131" t="s">
        <v>123</v>
      </c>
      <c r="M39" s="131" t="s">
        <v>124</v>
      </c>
      <c r="N39" s="132"/>
      <c r="P39" s="68" t="s">
        <v>125</v>
      </c>
      <c r="Q39" s="68" t="s">
        <v>125</v>
      </c>
      <c r="R39" s="68" t="s">
        <v>126</v>
      </c>
      <c r="S39" s="68" t="s">
        <v>127</v>
      </c>
    </row>
    <row r="40" spans="1:19" s="16" customFormat="1" ht="15" x14ac:dyDescent="0.2">
      <c r="A40" s="133"/>
      <c r="B40" s="134" t="s">
        <v>104</v>
      </c>
      <c r="C40" s="135">
        <f>IF($E$47-(E7*0.4)&lt;100000,E40,IF((E7*0.4)&lt;MIN(E16,E90:E92),ROUND(E7*0.4,0),MIN(E16,E90:E92)))</f>
        <v>0</v>
      </c>
      <c r="D40" s="135">
        <f>E40-C40</f>
        <v>0</v>
      </c>
      <c r="E40" s="135">
        <f>IF(MAX(E$90:E$92)&lt;E16,MAX(E$90:E$92),(E16))</f>
        <v>0</v>
      </c>
      <c r="F40" s="256" t="str">
        <f>IF(E$7=0,"",E40/E$7)</f>
        <v/>
      </c>
      <c r="G40" s="136"/>
      <c r="H40" s="266"/>
      <c r="I40" s="266"/>
      <c r="J40" s="266"/>
      <c r="K40" s="137"/>
      <c r="L40" s="138"/>
      <c r="M40" s="139"/>
      <c r="N40" s="132"/>
      <c r="P40" s="104"/>
      <c r="Q40" s="104"/>
      <c r="R40" s="104"/>
      <c r="S40" s="113"/>
    </row>
    <row r="41" spans="1:19" s="16" customFormat="1" ht="14.25" customHeight="1" x14ac:dyDescent="0.2">
      <c r="A41" s="140" t="s">
        <v>105</v>
      </c>
      <c r="B41" s="141">
        <f>$B$24</f>
        <v>0</v>
      </c>
      <c r="C41" s="135">
        <f>IF(($C$47-$C$40)&gt;0,ROUND(E41/($E$47-$E$40)*($C$47-$C$40),0),0)</f>
        <v>0</v>
      </c>
      <c r="D41" s="135">
        <f t="shared" ref="D41:D46" si="1">E41-C41</f>
        <v>0</v>
      </c>
      <c r="E41" s="135">
        <f>IF($E$47-$E$40=0,0,ROUND(C24/($C$30-$C$23)*($E$47-$E$40),0))</f>
        <v>0</v>
      </c>
      <c r="F41" s="256" t="str">
        <f t="shared" ref="F41:F46" si="2">IF(E$7=0,"",E41/E$7)</f>
        <v/>
      </c>
      <c r="G41" s="142">
        <f>$H$54</f>
        <v>0</v>
      </c>
      <c r="H41" s="142" t="s">
        <v>128</v>
      </c>
      <c r="I41" s="142" t="s">
        <v>128</v>
      </c>
      <c r="J41" s="142" t="s">
        <v>128</v>
      </c>
      <c r="K41" s="143" t="str">
        <f>IF($E$7=0,"",(G41+N(H41)+N(I41)+N(J41))/$E$7)</f>
        <v/>
      </c>
      <c r="L41" s="144"/>
      <c r="M41" s="142">
        <f>N(D24)+N(E24)+N(F24)+N(G24)-N(G41)-N(H41)-N(I41)-N(J41)</f>
        <v>0</v>
      </c>
      <c r="N41" s="132"/>
      <c r="P41" s="69">
        <f>IF(J24&lt;72,J24,72)</f>
        <v>0</v>
      </c>
      <c r="Q41" s="69">
        <f>IF(J24&lt;72,J24,72)</f>
        <v>0</v>
      </c>
      <c r="R41" s="69">
        <f t="shared" ref="R41:R46" si="3">K24</f>
        <v>0</v>
      </c>
      <c r="S41" s="114" t="s">
        <v>128</v>
      </c>
    </row>
    <row r="42" spans="1:19" s="16" customFormat="1" ht="14.25" customHeight="1" x14ac:dyDescent="0.2">
      <c r="A42" s="145" t="s">
        <v>106</v>
      </c>
      <c r="B42" s="146">
        <f>$B$25</f>
        <v>0</v>
      </c>
      <c r="C42" s="135">
        <f t="shared" ref="C42:C46" si="4">IF(($C$47-$C$40)&gt;0,ROUND(E42/($E$47-$E$40)*($C$47-$C$40),0),0)</f>
        <v>0</v>
      </c>
      <c r="D42" s="135">
        <f t="shared" si="1"/>
        <v>0</v>
      </c>
      <c r="E42" s="135">
        <f t="shared" ref="E42:E46" si="5">IF($E$47-$E$40=0,0,ROUND(C25/($C$30-$C$23)*($E$47-$E$40),0))</f>
        <v>0</v>
      </c>
      <c r="F42" s="256" t="str">
        <f t="shared" si="2"/>
        <v/>
      </c>
      <c r="G42" s="147">
        <f>$H$56</f>
        <v>0</v>
      </c>
      <c r="H42" s="147" t="str">
        <f>IF($E$30=0,"",ROUND((E25*H$47/$E$30),0))</f>
        <v/>
      </c>
      <c r="I42" s="147" t="str">
        <f>IF(OR(A$68&lt;3,$F$30=0),"",ROUND((F25*I$47/$F$30),0))</f>
        <v/>
      </c>
      <c r="J42" s="147" t="str">
        <f>IF($G$30=0,"",ROUND((G25*J$47/$G$30),0))</f>
        <v/>
      </c>
      <c r="K42" s="143" t="str">
        <f t="shared" ref="K42:K46" si="6">IF($E$7=0,"",(G42+N(H42)+N(I42)+N(J42))/$E$7)</f>
        <v/>
      </c>
      <c r="L42" s="144"/>
      <c r="M42" s="147">
        <f t="shared" ref="M42:M46" si="7">N(D25)+N(E25)+N(F25)+N(G25)-N(G42)-N(H42)-N(I42)-N(J42)</f>
        <v>0</v>
      </c>
      <c r="N42" s="132"/>
      <c r="P42" s="70">
        <f>IF($J25=0,0,IF($J25&lt;$F56,$J25,$F$56))</f>
        <v>0</v>
      </c>
      <c r="Q42" s="70">
        <f>IF(J25=0,0,IF(J25&lt;F56,J25,F56))</f>
        <v>0</v>
      </c>
      <c r="R42" s="70">
        <f t="shared" si="3"/>
        <v>0</v>
      </c>
      <c r="S42" s="115">
        <f>IF(H25&gt;DATE(YEAR(H24),MONTH(H24)+R41,DAY(H24)),H25,DATE(YEAR(H24),MONTH(H24)+R41,DAY(H24)))</f>
        <v>0</v>
      </c>
    </row>
    <row r="43" spans="1:19" s="16" customFormat="1" ht="14.25" customHeight="1" x14ac:dyDescent="0.2">
      <c r="A43" s="145" t="s">
        <v>107</v>
      </c>
      <c r="B43" s="148">
        <f>B26</f>
        <v>0</v>
      </c>
      <c r="C43" s="135">
        <f t="shared" si="4"/>
        <v>0</v>
      </c>
      <c r="D43" s="135">
        <f t="shared" si="1"/>
        <v>0</v>
      </c>
      <c r="E43" s="135">
        <f t="shared" si="5"/>
        <v>0</v>
      </c>
      <c r="F43" s="256" t="str">
        <f t="shared" si="2"/>
        <v/>
      </c>
      <c r="G43" s="147">
        <f>$H$58</f>
        <v>0</v>
      </c>
      <c r="H43" s="147" t="str">
        <f>IF($E$30=0,"",ROUND((E26*H$47/$E$30),0))</f>
        <v/>
      </c>
      <c r="I43" s="147" t="str">
        <f t="shared" ref="I43:I46" si="8">IF(OR(A$68&lt;3,$F$30=0),"",ROUND((F26*I$47/$F$30),0))</f>
        <v/>
      </c>
      <c r="J43" s="147" t="str">
        <f>IF($G$30=0,"",ROUND((G26*J$47/$G$30),0))</f>
        <v/>
      </c>
      <c r="K43" s="143" t="str">
        <f t="shared" si="6"/>
        <v/>
      </c>
      <c r="L43" s="144"/>
      <c r="M43" s="147">
        <f t="shared" si="7"/>
        <v>0</v>
      </c>
      <c r="N43" s="132"/>
      <c r="P43" s="70">
        <f>IF($J26=0,0,IF($J26&lt;$F58,$J26,$F$58))</f>
        <v>0</v>
      </c>
      <c r="Q43" s="70">
        <f>IF(J26=0,0,IF(J26&lt;F58,J26,F58))</f>
        <v>0</v>
      </c>
      <c r="R43" s="70">
        <f t="shared" si="3"/>
        <v>0</v>
      </c>
      <c r="S43" s="115">
        <f>IF(H26&gt;DATE(YEAR(H24),MONTH(H24)+R41+R42,DAY(H24)),H26,DATE(YEAR(H24),MONTH(H24)+R41+R42,DAY(H24)))</f>
        <v>0</v>
      </c>
    </row>
    <row r="44" spans="1:19" s="16" customFormat="1" ht="14.25" customHeight="1" x14ac:dyDescent="0.2">
      <c r="A44" s="145" t="s">
        <v>108</v>
      </c>
      <c r="B44" s="148">
        <f>$B$27</f>
        <v>0</v>
      </c>
      <c r="C44" s="135">
        <f t="shared" si="4"/>
        <v>0</v>
      </c>
      <c r="D44" s="135">
        <f t="shared" si="1"/>
        <v>0</v>
      </c>
      <c r="E44" s="135">
        <f t="shared" si="5"/>
        <v>0</v>
      </c>
      <c r="F44" s="256" t="str">
        <f t="shared" si="2"/>
        <v/>
      </c>
      <c r="G44" s="147">
        <f>$H$60</f>
        <v>0</v>
      </c>
      <c r="H44" s="147" t="str">
        <f>IF($E$30=0,"",ROUND((E27*H$47/$E$30),0))</f>
        <v/>
      </c>
      <c r="I44" s="147" t="str">
        <f t="shared" si="8"/>
        <v/>
      </c>
      <c r="J44" s="147" t="str">
        <f>IF($G$30=0,"",ROUND((G27*J$47/$G$30),0))</f>
        <v/>
      </c>
      <c r="K44" s="143" t="str">
        <f t="shared" si="6"/>
        <v/>
      </c>
      <c r="L44" s="144"/>
      <c r="M44" s="147">
        <f t="shared" si="7"/>
        <v>0</v>
      </c>
      <c r="N44" s="132"/>
      <c r="P44" s="70">
        <f>IF($K27=0,0,IF($K27&lt;$F60,$K27,$F$60))</f>
        <v>0</v>
      </c>
      <c r="Q44" s="70">
        <f>IF(J27=0,0,IF(J27&lt;F60,J27,F60))</f>
        <v>0</v>
      </c>
      <c r="R44" s="70">
        <f t="shared" si="3"/>
        <v>0</v>
      </c>
      <c r="S44" s="115">
        <f>IF(H27&gt;DATE(YEAR(H24),MONTH(H24)+R41+R42+R43,DAY(H24)),H27,DATE(YEAR(H24),MONTH(H24)+R41+R42+R43,DAY(H24)))</f>
        <v>0</v>
      </c>
    </row>
    <row r="45" spans="1:19" s="16" customFormat="1" ht="14.25" customHeight="1" x14ac:dyDescent="0.2">
      <c r="A45" s="149" t="s">
        <v>109</v>
      </c>
      <c r="B45" s="148">
        <f>$B$28</f>
        <v>0</v>
      </c>
      <c r="C45" s="135">
        <f t="shared" si="4"/>
        <v>0</v>
      </c>
      <c r="D45" s="135">
        <f t="shared" si="1"/>
        <v>0</v>
      </c>
      <c r="E45" s="135">
        <f t="shared" si="5"/>
        <v>0</v>
      </c>
      <c r="F45" s="256" t="str">
        <f t="shared" si="2"/>
        <v/>
      </c>
      <c r="G45" s="147">
        <f>$H$62</f>
        <v>0</v>
      </c>
      <c r="H45" s="147" t="str">
        <f>IF($E$30=0,"",ROUND((E28*H$47/$E$30),0))</f>
        <v/>
      </c>
      <c r="I45" s="147" t="str">
        <f t="shared" si="8"/>
        <v/>
      </c>
      <c r="J45" s="147" t="str">
        <f>IF($G$30=0,"",ROUND((G28*J$47/$G$30),0))</f>
        <v/>
      </c>
      <c r="K45" s="143" t="str">
        <f t="shared" si="6"/>
        <v/>
      </c>
      <c r="L45" s="144"/>
      <c r="M45" s="147">
        <f t="shared" si="7"/>
        <v>0</v>
      </c>
      <c r="N45" s="132"/>
      <c r="P45" s="70">
        <f>IF($K28=0,0,IF($K28&lt;$F62,$K28,$F$62))</f>
        <v>0</v>
      </c>
      <c r="Q45" s="70">
        <f>IF(J28=0,0,IF(J28&lt;F62,J28,F62))</f>
        <v>0</v>
      </c>
      <c r="R45" s="70">
        <f t="shared" si="3"/>
        <v>0</v>
      </c>
      <c r="S45" s="115">
        <f>IF(H28&gt;DATE(YEAR(H24),MONTH(H24)+R41+R42+R43+R44,DAY(H24)),H28,DATE(YEAR(H24),MONTH(H24)+R41+R42+R43+R44,DAY(H24)))</f>
        <v>0</v>
      </c>
    </row>
    <row r="46" spans="1:19" s="16" customFormat="1" ht="14.25" customHeight="1" thickBot="1" x14ac:dyDescent="0.25">
      <c r="A46" s="150" t="s">
        <v>110</v>
      </c>
      <c r="B46" s="151">
        <f>$B$29</f>
        <v>0</v>
      </c>
      <c r="C46" s="152">
        <f t="shared" si="4"/>
        <v>0</v>
      </c>
      <c r="D46" s="135">
        <f t="shared" si="1"/>
        <v>0</v>
      </c>
      <c r="E46" s="135">
        <f t="shared" si="5"/>
        <v>0</v>
      </c>
      <c r="F46" s="257" t="str">
        <f t="shared" si="2"/>
        <v/>
      </c>
      <c r="G46" s="147">
        <f>$H$64</f>
        <v>0</v>
      </c>
      <c r="H46" s="147" t="str">
        <f>IF($E$30=0,"",ROUND((E29*H$47/$E$30),0))</f>
        <v/>
      </c>
      <c r="I46" s="147" t="str">
        <f t="shared" si="8"/>
        <v/>
      </c>
      <c r="J46" s="147" t="str">
        <f>IF($G$30=0,"",ROUND((G29*J$47/$G$30),0))</f>
        <v/>
      </c>
      <c r="K46" s="143" t="str">
        <f t="shared" si="6"/>
        <v/>
      </c>
      <c r="L46" s="144"/>
      <c r="M46" s="147">
        <f t="shared" si="7"/>
        <v>0</v>
      </c>
      <c r="N46" s="132"/>
      <c r="P46" s="70">
        <f>IF($K29=0,0,IF($K29&lt;$F64,$K29,$F$64))</f>
        <v>0</v>
      </c>
      <c r="Q46" s="70">
        <f>IF(J29=0,0,IF(J29&lt;F64,J29,F64))</f>
        <v>0</v>
      </c>
      <c r="R46" s="70">
        <f t="shared" si="3"/>
        <v>0</v>
      </c>
      <c r="S46" s="115">
        <f>IF(H29&gt;DATE(YEAR(H24),MONTH(H24)+R41+R42+R43+R44+R45,DAY(H24)),H29,DATE(YEAR(H24),MONTH(H24)+R41+R42+R43+R44+R45,DAY(H24)))</f>
        <v>0</v>
      </c>
    </row>
    <row r="47" spans="1:19" s="16" customFormat="1" ht="18" customHeight="1" thickBot="1" x14ac:dyDescent="0.25">
      <c r="A47" s="153"/>
      <c r="B47" s="154" t="s">
        <v>129</v>
      </c>
      <c r="C47" s="155">
        <f>IF(E47-(E7*0.4)&lt;100000,E47,IF((E7*0.4)&lt;E47,ROUND(E7*0.4,0),E47))</f>
        <v>0</v>
      </c>
      <c r="D47" s="155">
        <f>E47-C47</f>
        <v>0</v>
      </c>
      <c r="E47" s="155">
        <f>IF(MAX(N(90),N(92))&lt;(C30+IF(E11="oui",N(E12),0)),MIN(E$7*F$9,MAX(N(B90)+N(B92)-E40-C48,0),E15)+E40,MIN(MAX(N(H90),N(H92)),E15)+E40)</f>
        <v>0</v>
      </c>
      <c r="F47" s="258">
        <f>SUM(F40:F46)</f>
        <v>0</v>
      </c>
      <c r="G47" s="156">
        <f>SUM(G41:G46)</f>
        <v>0</v>
      </c>
      <c r="H47" s="309">
        <f>MIN(E30,SUM(H70:H84))</f>
        <v>0</v>
      </c>
      <c r="I47" s="309">
        <f>MIN(F30,SUM(I70:I72))</f>
        <v>0</v>
      </c>
      <c r="J47" s="309">
        <f>MIN(G30,SUM(J70:J84))</f>
        <v>0</v>
      </c>
      <c r="K47" s="310">
        <f>SUM(K41:K46)</f>
        <v>0</v>
      </c>
      <c r="L47" s="311">
        <f>G47+H47+I47+J47</f>
        <v>0</v>
      </c>
      <c r="M47" s="312">
        <f>SUM(M41:M46)</f>
        <v>0</v>
      </c>
      <c r="N47" s="132"/>
      <c r="P47" s="15"/>
      <c r="Q47" s="15"/>
      <c r="R47" s="15"/>
    </row>
    <row r="48" spans="1:19" s="58" customFormat="1" ht="27.75" customHeight="1" x14ac:dyDescent="0.2">
      <c r="A48" s="434" t="str">
        <f>IF(L$68=1,L$81,IF(L$68=2,L$82,IF(L$68=3,"Mesure incitative","")))</f>
        <v>Mesure incitative</v>
      </c>
      <c r="B48" s="435" t="str">
        <f>IF(L68=1,L82,IF(L68=2,L81,"Mesure incitative"))</f>
        <v>Mesure incitative</v>
      </c>
      <c r="C48" s="353">
        <f>IF(E11="Oui",MIN(MAX(K90:K92),N(E12),E$7*84%-E$40),0)</f>
        <v>0</v>
      </c>
      <c r="D48" s="157">
        <v>0</v>
      </c>
      <c r="E48" s="157">
        <f>C48+D48</f>
        <v>0</v>
      </c>
      <c r="F48" s="259">
        <f>IF(E7=0,0,C48/E7)</f>
        <v>0</v>
      </c>
      <c r="G48" s="158"/>
      <c r="H48" s="159"/>
      <c r="I48" s="159"/>
      <c r="J48" s="160" t="str">
        <f>IF(AND($A$68&gt;2,$A$68&lt;6,G47&gt;0,F30&gt;0,E7&gt;0),"DDA &amp; CMM du distributeur / Exigence seuil:","")</f>
        <v/>
      </c>
      <c r="K48" s="161" t="str">
        <f>IF(AND($A$68&gt;2,$A$68&lt;6,G47&gt;0,F30&gt;0,E7&gt;0),SUM(G47,N(H47))/SUM(N(D70),N(D71),N(D72)),"")</f>
        <v/>
      </c>
      <c r="L48" s="162"/>
      <c r="M48" s="163"/>
      <c r="N48" s="164"/>
      <c r="O48" s="59"/>
      <c r="P48" s="59"/>
      <c r="Q48" s="59"/>
      <c r="R48" s="59"/>
    </row>
    <row r="49" spans="1:14" s="58" customFormat="1" ht="18" customHeight="1" thickBot="1" x14ac:dyDescent="0.25">
      <c r="A49" s="153"/>
      <c r="B49" s="154" t="s">
        <v>130</v>
      </c>
      <c r="C49" s="155">
        <f>+C47+C48</f>
        <v>0</v>
      </c>
      <c r="D49" s="155">
        <f>+D47+D48</f>
        <v>0</v>
      </c>
      <c r="E49" s="155">
        <f>+E47+E48</f>
        <v>0</v>
      </c>
      <c r="F49" s="258">
        <f>SUM(F47:F48)</f>
        <v>0</v>
      </c>
      <c r="G49" s="158"/>
      <c r="H49" s="159"/>
      <c r="I49" s="159"/>
      <c r="J49" s="160"/>
      <c r="K49" s="165"/>
      <c r="L49" s="162"/>
      <c r="M49" s="163"/>
      <c r="N49" s="166"/>
    </row>
    <row r="50" spans="1:14" s="16" customFormat="1" ht="18" customHeight="1" x14ac:dyDescent="0.2">
      <c r="A50" s="78" t="s">
        <v>131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15"/>
    </row>
    <row r="51" spans="1:14" s="16" customFormat="1" x14ac:dyDescent="0.2"/>
    <row r="52" spans="1:14" s="16" customFormat="1" ht="15" x14ac:dyDescent="0.2">
      <c r="A52" s="78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/>
      <c r="M52" s="15"/>
    </row>
    <row r="53" spans="1:14" s="16" customFormat="1" ht="21" customHeight="1" x14ac:dyDescent="0.2">
      <c r="A53" s="25" t="s">
        <v>132</v>
      </c>
      <c r="B53" s="24"/>
      <c r="C53" s="23"/>
      <c r="D53" s="22"/>
      <c r="E53" s="22"/>
      <c r="F53" s="22"/>
      <c r="G53" s="22"/>
      <c r="H53" s="18"/>
      <c r="I53" s="18"/>
      <c r="J53" s="18"/>
      <c r="K53" s="18"/>
      <c r="L53"/>
      <c r="M53" s="15"/>
    </row>
    <row r="54" spans="1:14" s="174" customFormat="1" ht="18" customHeight="1" x14ac:dyDescent="0.2">
      <c r="A54" s="167" t="s">
        <v>105</v>
      </c>
      <c r="B54" s="168">
        <f>D24</f>
        <v>0</v>
      </c>
      <c r="C54" s="169" t="s">
        <v>38</v>
      </c>
      <c r="D54" s="170">
        <f>J24</f>
        <v>0</v>
      </c>
      <c r="E54" s="169" t="s">
        <v>39</v>
      </c>
      <c r="F54" s="170">
        <f>72</f>
        <v>72</v>
      </c>
      <c r="G54" s="169" t="s">
        <v>40</v>
      </c>
      <c r="H54" s="168">
        <f>IF(J24&lt;72,B54,(B54/D54)*F54)</f>
        <v>0</v>
      </c>
      <c r="I54" s="462" t="s">
        <v>133</v>
      </c>
      <c r="J54" s="463"/>
      <c r="K54" s="172">
        <f>DATE(YEAR(H24),MONTH(H24)+72,DAY(H24))</f>
        <v>2192</v>
      </c>
      <c r="L54" s="132"/>
      <c r="M54" s="173"/>
    </row>
    <row r="55" spans="1:14" s="181" customFormat="1" ht="25.5" customHeight="1" x14ac:dyDescent="0.2">
      <c r="A55" s="175"/>
      <c r="B55" s="176" t="s">
        <v>134</v>
      </c>
      <c r="C55" s="177"/>
      <c r="D55" s="177" t="s">
        <v>135</v>
      </c>
      <c r="E55" s="178"/>
      <c r="F55" s="177" t="s">
        <v>136</v>
      </c>
      <c r="G55" s="178"/>
      <c r="H55" s="176" t="s">
        <v>137</v>
      </c>
      <c r="I55" s="179"/>
      <c r="J55" s="179"/>
      <c r="K55" s="180"/>
      <c r="L55" s="132"/>
      <c r="M55" s="83"/>
    </row>
    <row r="56" spans="1:14" s="174" customFormat="1" ht="18" customHeight="1" x14ac:dyDescent="0.2">
      <c r="A56" s="167" t="s">
        <v>106</v>
      </c>
      <c r="B56" s="168">
        <f>D25</f>
        <v>0</v>
      </c>
      <c r="C56" s="169" t="s">
        <v>38</v>
      </c>
      <c r="D56" s="170">
        <f>J25</f>
        <v>0</v>
      </c>
      <c r="E56" s="169" t="s">
        <v>39</v>
      </c>
      <c r="F56" s="182">
        <f>IF((YEAR(K54)-YEAR(S42))*12+MONTH(K54)-MONTH(S42)&lt;0,0,(YEAR(K54)-YEAR(S42))*12+MONTH(K54)-MONTH(S42))</f>
        <v>71</v>
      </c>
      <c r="G56" s="169" t="s">
        <v>40</v>
      </c>
      <c r="H56" s="168">
        <f>IF(D25=0,0,IF(D56&lt;F56,B56,(B56/D56)*F56))</f>
        <v>0</v>
      </c>
      <c r="I56" s="179"/>
      <c r="J56" s="179"/>
      <c r="K56" s="183"/>
      <c r="L56" s="132"/>
      <c r="M56" s="173"/>
    </row>
    <row r="57" spans="1:14" s="181" customFormat="1" ht="25.5" customHeight="1" x14ac:dyDescent="0.2">
      <c r="A57" s="184"/>
      <c r="B57" s="176" t="s">
        <v>134</v>
      </c>
      <c r="C57" s="179"/>
      <c r="D57" s="177" t="s">
        <v>135</v>
      </c>
      <c r="E57" s="179"/>
      <c r="F57" s="177" t="s">
        <v>136</v>
      </c>
      <c r="G57" s="178"/>
      <c r="H57" s="176" t="s">
        <v>137</v>
      </c>
      <c r="I57" s="179"/>
      <c r="J57" s="179"/>
      <c r="K57" s="183"/>
      <c r="L57" s="132"/>
      <c r="M57" s="83"/>
    </row>
    <row r="58" spans="1:14" s="174" customFormat="1" ht="18" customHeight="1" x14ac:dyDescent="0.2">
      <c r="A58" s="167" t="s">
        <v>107</v>
      </c>
      <c r="B58" s="168">
        <f>D26</f>
        <v>0</v>
      </c>
      <c r="C58" s="169" t="s">
        <v>38</v>
      </c>
      <c r="D58" s="170">
        <f>J26</f>
        <v>0</v>
      </c>
      <c r="E58" s="169" t="s">
        <v>39</v>
      </c>
      <c r="F58" s="182">
        <f>IF((YEAR(K54)-YEAR(S43))*12+MONTH(K54)-MONTH(S43)&lt;0,0,(YEAR(K54)-YEAR(S43))*12+MONTH(K54)-MONTH(S43))</f>
        <v>71</v>
      </c>
      <c r="G58" s="169" t="s">
        <v>40</v>
      </c>
      <c r="H58" s="168">
        <f>IF(D26=0,0,IF(D58&lt;F58,B58,(B58/D58)*F58))</f>
        <v>0</v>
      </c>
      <c r="I58" s="179"/>
      <c r="J58" s="179"/>
      <c r="K58" s="183"/>
      <c r="L58" s="132"/>
      <c r="M58" s="173"/>
    </row>
    <row r="59" spans="1:14" s="181" customFormat="1" ht="25.5" customHeight="1" x14ac:dyDescent="0.2">
      <c r="A59" s="185"/>
      <c r="B59" s="176" t="s">
        <v>134</v>
      </c>
      <c r="C59" s="179"/>
      <c r="D59" s="177" t="s">
        <v>135</v>
      </c>
      <c r="E59" s="179"/>
      <c r="F59" s="177" t="s">
        <v>136</v>
      </c>
      <c r="G59" s="178"/>
      <c r="H59" s="176" t="s">
        <v>137</v>
      </c>
      <c r="I59" s="179"/>
      <c r="J59" s="179"/>
      <c r="K59" s="183"/>
      <c r="L59" s="132"/>
      <c r="M59" s="83"/>
    </row>
    <row r="60" spans="1:14" s="174" customFormat="1" ht="18" customHeight="1" x14ac:dyDescent="0.2">
      <c r="A60" s="167" t="s">
        <v>108</v>
      </c>
      <c r="B60" s="168">
        <f>D27</f>
        <v>0</v>
      </c>
      <c r="C60" s="169" t="s">
        <v>38</v>
      </c>
      <c r="D60" s="182">
        <f>J27</f>
        <v>0</v>
      </c>
      <c r="E60" s="169" t="s">
        <v>39</v>
      </c>
      <c r="F60" s="182">
        <f>IF((YEAR(K54)-YEAR(S44))*12+MONTH(K54)-MONTH(S44)&lt;0,0,(YEAR(K54)-YEAR(S44))*12+MONTH(K54)-MONTH(S44))</f>
        <v>71</v>
      </c>
      <c r="G60" s="169" t="s">
        <v>40</v>
      </c>
      <c r="H60" s="168">
        <f>IF(D27=0,0,IF(D60&lt;F60,B60,(B60/D60)*F60))</f>
        <v>0</v>
      </c>
      <c r="I60" s="179"/>
      <c r="J60" s="179"/>
      <c r="K60" s="183"/>
      <c r="L60" s="132"/>
      <c r="M60" s="173"/>
    </row>
    <row r="61" spans="1:14" s="181" customFormat="1" ht="30.6" customHeight="1" x14ac:dyDescent="0.2">
      <c r="A61" s="175"/>
      <c r="B61" s="176" t="s">
        <v>134</v>
      </c>
      <c r="C61" s="179"/>
      <c r="D61" s="177" t="s">
        <v>135</v>
      </c>
      <c r="E61" s="179"/>
      <c r="F61" s="177" t="s">
        <v>136</v>
      </c>
      <c r="G61" s="178"/>
      <c r="H61" s="176" t="s">
        <v>137</v>
      </c>
      <c r="I61" s="179"/>
      <c r="J61" s="179"/>
      <c r="K61" s="183"/>
      <c r="L61" s="132"/>
      <c r="M61" s="83"/>
    </row>
    <row r="62" spans="1:14" s="174" customFormat="1" ht="18" customHeight="1" x14ac:dyDescent="0.2">
      <c r="A62" s="167" t="s">
        <v>109</v>
      </c>
      <c r="B62" s="168">
        <f>D28</f>
        <v>0</v>
      </c>
      <c r="C62" s="169" t="s">
        <v>38</v>
      </c>
      <c r="D62" s="182">
        <f>J28</f>
        <v>0</v>
      </c>
      <c r="E62" s="169" t="s">
        <v>39</v>
      </c>
      <c r="F62" s="182">
        <f>IF((YEAR(K54)-YEAR(S45))*12+MONTH(K54)-MONTH(S45)&lt;0,0,(YEAR(K54)-YEAR(S45))*12+MONTH(K54)-MONTH(S45))</f>
        <v>71</v>
      </c>
      <c r="G62" s="169" t="s">
        <v>40</v>
      </c>
      <c r="H62" s="168">
        <f>IF(D28=0,0,IF(D62&lt;F62,B62,(B62/D62)*F62))</f>
        <v>0</v>
      </c>
      <c r="I62" s="179"/>
      <c r="J62" s="179"/>
      <c r="K62" s="183"/>
      <c r="L62" s="132"/>
      <c r="M62" s="173"/>
    </row>
    <row r="63" spans="1:14" s="181" customFormat="1" ht="26.45" customHeight="1" x14ac:dyDescent="0.2">
      <c r="A63" s="184"/>
      <c r="B63" s="176" t="s">
        <v>134</v>
      </c>
      <c r="C63" s="179"/>
      <c r="D63" s="177" t="s">
        <v>135</v>
      </c>
      <c r="E63" s="179"/>
      <c r="F63" s="177" t="s">
        <v>136</v>
      </c>
      <c r="G63" s="178"/>
      <c r="H63" s="176" t="s">
        <v>137</v>
      </c>
      <c r="I63" s="179"/>
      <c r="J63" s="179"/>
      <c r="K63" s="183"/>
      <c r="L63" s="132"/>
      <c r="M63" s="83"/>
    </row>
    <row r="64" spans="1:14" s="174" customFormat="1" ht="18" customHeight="1" x14ac:dyDescent="0.2">
      <c r="A64" s="167" t="s">
        <v>110</v>
      </c>
      <c r="B64" s="168">
        <f>D29</f>
        <v>0</v>
      </c>
      <c r="C64" s="169" t="s">
        <v>38</v>
      </c>
      <c r="D64" s="182">
        <f>J29</f>
        <v>0</v>
      </c>
      <c r="E64" s="169" t="s">
        <v>39</v>
      </c>
      <c r="F64" s="182">
        <f>IF((YEAR(K54)-YEAR(S46))*12+MONTH(K54)-MONTH(S46)&lt;0,0,(YEAR(K54)-YEAR(S46))*12+MONTH(K54)-MONTH(S46))</f>
        <v>71</v>
      </c>
      <c r="G64" s="169" t="s">
        <v>40</v>
      </c>
      <c r="H64" s="168">
        <f>IF(D29=0,0,IF(D64&lt;F64,B64,(B64/D64)*F64))</f>
        <v>0</v>
      </c>
      <c r="I64" s="179"/>
      <c r="J64" s="179"/>
      <c r="K64" s="183"/>
      <c r="L64" s="132"/>
      <c r="M64" s="173"/>
    </row>
    <row r="65" spans="1:12" s="181" customFormat="1" ht="26.45" customHeight="1" x14ac:dyDescent="0.2">
      <c r="A65" s="186"/>
      <c r="B65" s="187" t="s">
        <v>134</v>
      </c>
      <c r="C65" s="188"/>
      <c r="D65" s="189" t="s">
        <v>135</v>
      </c>
      <c r="E65" s="188"/>
      <c r="F65" s="189" t="s">
        <v>136</v>
      </c>
      <c r="G65" s="171"/>
      <c r="H65" s="187" t="s">
        <v>137</v>
      </c>
      <c r="I65" s="190"/>
      <c r="J65" s="190"/>
      <c r="K65" s="191"/>
      <c r="L65" s="132"/>
    </row>
    <row r="66" spans="1:12" s="181" customFormat="1" ht="33" customHeight="1" x14ac:dyDescent="0.2">
      <c r="A66" s="192"/>
      <c r="B66" s="193"/>
      <c r="C66" s="192"/>
      <c r="D66" s="192"/>
      <c r="E66" s="194"/>
      <c r="F66" s="194"/>
      <c r="G66" s="192"/>
      <c r="H66" s="194"/>
      <c r="I66" s="194"/>
      <c r="J66" s="193"/>
      <c r="K66" s="195"/>
      <c r="L66" s="132"/>
    </row>
    <row r="67" spans="1:12" s="181" customFormat="1" ht="22.5" customHeight="1" x14ac:dyDescent="0.2">
      <c r="A67" s="196" t="s">
        <v>138</v>
      </c>
      <c r="B67" s="197"/>
      <c r="C67" s="198"/>
      <c r="D67" s="267"/>
      <c r="E67" s="267"/>
      <c r="F67" s="267"/>
      <c r="G67" s="267"/>
      <c r="H67" s="439" t="s">
        <v>139</v>
      </c>
      <c r="I67" s="439"/>
      <c r="J67" s="439"/>
      <c r="K67" s="267"/>
      <c r="L67" s="267"/>
    </row>
    <row r="68" spans="1:12" s="181" customFormat="1" ht="57.75" customHeight="1" x14ac:dyDescent="0.2">
      <c r="A68" s="271">
        <v>18</v>
      </c>
      <c r="B68" s="199" t="s">
        <v>140</v>
      </c>
      <c r="C68" s="200" t="s">
        <v>141</v>
      </c>
      <c r="D68" s="200" t="s">
        <v>142</v>
      </c>
      <c r="E68" s="467" t="s">
        <v>143</v>
      </c>
      <c r="F68" s="467"/>
      <c r="G68" s="269" t="s">
        <v>144</v>
      </c>
      <c r="H68" s="338" t="s">
        <v>237</v>
      </c>
      <c r="I68" s="338" t="s">
        <v>238</v>
      </c>
      <c r="J68" s="268" t="s">
        <v>239</v>
      </c>
      <c r="K68" s="272"/>
      <c r="L68" s="273">
        <v>3</v>
      </c>
    </row>
    <row r="69" spans="1:12" s="181" customFormat="1" ht="24.95" customHeight="1" x14ac:dyDescent="0.2">
      <c r="A69" s="123"/>
      <c r="B69" s="201" t="s">
        <v>145</v>
      </c>
      <c r="C69" s="202"/>
      <c r="D69" s="203"/>
      <c r="E69" s="204"/>
      <c r="F69" s="205"/>
      <c r="G69" s="204"/>
      <c r="H69" s="204"/>
      <c r="I69" s="107"/>
      <c r="J69" s="374" t="str">
        <f>IFERROR(_xlfn.CONCAT(M70:M72,M74:M75,M77,M79:M85,M87),"")</f>
        <v/>
      </c>
      <c r="K69" s="272"/>
      <c r="L69" s="272"/>
    </row>
    <row r="70" spans="1:12" s="181" customFormat="1" ht="38.25" customHeight="1" x14ac:dyDescent="0.2">
      <c r="A70" s="124"/>
      <c r="B70" s="206" t="s">
        <v>146</v>
      </c>
      <c r="C70" s="207">
        <v>0.1</v>
      </c>
      <c r="D70" s="208" t="str">
        <f>IF(A$68=3,ROUND(10%*$E$7,0),"S/O")</f>
        <v>S/O</v>
      </c>
      <c r="E70" s="209" t="str">
        <f>IF(D70="S/O","S/O",
IF(G$47&gt;=D70,"Oui",
IF(G$47+MIN(E$30,MAX(D70-G$47,0))&gt;=D70,"Oui",
IF(AND(G$47+MIN(E$30,MAX(D70-G$47,0))&gt;=75%*D70,
G$47+MIN(E$30+F$30+G$30,MAX(D70-G$47,0))&gt;=D70),"Oui",
IF(AND(G$47+MIN(E$30,MAX(D70-G$47,0))&gt;=51%*D70,
G$47+MIN(E$30+G$30,MAX(D70-G$47,0))&gt;=D70),"Oui","Non")))))</f>
        <v>S/O</v>
      </c>
      <c r="F70" s="210"/>
      <c r="G70" s="211" t="str">
        <f>IF(E70="S/O","S/O",G$47+MIN(H$47,E$30)+MIN(I$47,F$30)+MIN(J$47,G$30)-D70)</f>
        <v>S/O</v>
      </c>
      <c r="H70" s="212" t="str">
        <f>IF(E70="S/O","S/O",
IF(AND(E$30&gt;0,G$47&gt;0),MAX(D70-G$47,0),0))</f>
        <v>S/O</v>
      </c>
      <c r="I70" s="212" t="str">
        <f>IF(E70="S/O","S/O",
IF(AND($A$68=3,F$30&gt;0,G$47+H$47&gt;=75%*D70),MAX(ROUND(D70-G$47-H$47,0),0),0))</f>
        <v>S/O</v>
      </c>
      <c r="J70" s="212" t="str">
        <f>IF(E70="S/O","S/O",
IF(AND($A$68=3,G$30&gt;0,G$47+H$47&gt;=51%*D70),MAX(ROUND(D70-G$47-H$47-I$47,0),0),0))</f>
        <v>S/O</v>
      </c>
      <c r="K70" s="272"/>
      <c r="L70" s="272"/>
    </row>
    <row r="71" spans="1:12" s="181" customFormat="1" ht="45" customHeight="1" x14ac:dyDescent="0.2">
      <c r="A71" s="124"/>
      <c r="B71" s="213" t="s">
        <v>147</v>
      </c>
      <c r="C71" s="207">
        <v>0.1</v>
      </c>
      <c r="D71" s="208" t="str">
        <f>IF(A$68=4,ROUND(10%*$E$7,0),"S/O")</f>
        <v>S/O</v>
      </c>
      <c r="E71" s="209" t="str">
        <f t="shared" ref="E71:E72" si="9">IF(D71="S/O","S/O",
IF(G$47&gt;=D71,"Oui",
IF(G$47+MIN(E$30,MAX(D71-G$47,0))&gt;=D71,"Oui",
IF(AND(G$47+MIN(E$30,MAX(D71-G$47,0))&gt;=75%*D71,
G$47+MIN(E$30+F$30+G$30,MAX(D71-G$47,0))&gt;=D71),"Oui",
IF(AND(G$47+MIN(E$30,MAX(D71-G$47,0))&gt;=51%*D71,
G$47+MIN(E$30+G$30,MAX(D71-G$47,0))&gt;=D71),"Oui","Non")))))</f>
        <v>S/O</v>
      </c>
      <c r="F71" s="210"/>
      <c r="G71" s="211" t="str">
        <f>IF(E71="S/O","S/O",G$47+MIN(H$47,E$30)+MIN(I$47,F$30)+MIN(J$47,G$30)-D71)</f>
        <v>S/O</v>
      </c>
      <c r="H71" s="212" t="str">
        <f>IF(E71="S/O","S/O",
IF(AND(E$30&gt;0,G$47&gt;0),MAX(D71-G$47,0),0))</f>
        <v>S/O</v>
      </c>
      <c r="I71" s="212" t="str">
        <f>IF(E71="S/O","S/O",
IF(AND($A$68=4,F$30&gt;0,G$47+H$47&gt;=75%*D71),MAX(ROUND(D71-G$47-H$47,0),0),0))</f>
        <v>S/O</v>
      </c>
      <c r="J71" s="212" t="str">
        <f>IF(E71="S/O","S/O",
IF(AND($A$68=4,G$30&gt;0,G$47+H$47&gt;=51%*D71),MAX(ROUND(D71-G$47-H$47-I$47,0),0),0))</f>
        <v>S/O</v>
      </c>
      <c r="K71" s="272"/>
      <c r="L71" s="274"/>
    </row>
    <row r="72" spans="1:12" s="181" customFormat="1" ht="38.25" customHeight="1" x14ac:dyDescent="0.2">
      <c r="A72" s="125"/>
      <c r="B72" s="206" t="s">
        <v>148</v>
      </c>
      <c r="C72" s="207" t="s">
        <v>149</v>
      </c>
      <c r="D72" s="208" t="str">
        <f>IF(A$68=5,MIN(ROUND(5%*E$7,0),120000),"S/O")</f>
        <v>S/O</v>
      </c>
      <c r="E72" s="209" t="str">
        <f t="shared" si="9"/>
        <v>S/O</v>
      </c>
      <c r="F72" s="210"/>
      <c r="G72" s="211" t="str">
        <f>IF(E72="S/O","S/O",G$47+MIN(H$47,E$30)+MIN(I$47,F$30)+MIN(J$47,G$30)-D72)</f>
        <v>S/O</v>
      </c>
      <c r="H72" s="212" t="str">
        <f>IF(E72="S/O","S/O",
IF(AND(E$30&gt;0,G$47&gt;0),MAX(D72-G$47,0),0))</f>
        <v>S/O</v>
      </c>
      <c r="I72" s="212" t="str">
        <f>IF(E72="S/O","S/O",
IF(AND($A$68=5,F$30&gt;0,G$47+H$47&gt;=75%*D72),MAX(ROUND(D72-G$47-H$47,0),0),0))</f>
        <v>S/O</v>
      </c>
      <c r="J72" s="212" t="str">
        <f>IF(E72="S/O","S/O",
IF(AND($A$68=5,G$30&gt;0,G$47+H$47&gt;=51%*D72),MAX(ROUND(D72-G$47-H$47-I$47,0),0),0))</f>
        <v>S/O</v>
      </c>
      <c r="K72" s="272"/>
      <c r="L72" s="274"/>
    </row>
    <row r="73" spans="1:12" s="181" customFormat="1" ht="24.95" customHeight="1" x14ac:dyDescent="0.2">
      <c r="A73" s="125"/>
      <c r="B73" s="201" t="s">
        <v>150</v>
      </c>
      <c r="C73" s="202"/>
      <c r="D73" s="203"/>
      <c r="E73" s="214"/>
      <c r="F73" s="205"/>
      <c r="G73" s="204"/>
      <c r="H73" s="204"/>
      <c r="I73" s="107"/>
      <c r="J73" s="215"/>
      <c r="K73" s="272"/>
      <c r="L73" s="274"/>
    </row>
    <row r="74" spans="1:12" s="181" customFormat="1" ht="45" customHeight="1" x14ac:dyDescent="0.2">
      <c r="A74" s="125"/>
      <c r="B74" s="206" t="s">
        <v>151</v>
      </c>
      <c r="C74" s="216">
        <v>0.1</v>
      </c>
      <c r="D74" s="217" t="str">
        <f>IF($A$68=7,ROUND(10%*$E$7,0),"S/O")</f>
        <v>S/O</v>
      </c>
      <c r="E74" s="209" t="str">
        <f>IF(D74="S/O","S/O",
IF(G$47&gt;=D74,"Oui",
IF(G$47+MIN(E$30,MAX(D74-G$47,0))&gt;=D74,"Oui",
IF(AND(G$47+MIN(E$30,MAX(D74-G$47,0))&gt;=51%*D74,
G$47+MIN(E$30+G$30,MAX(D74-G$47,0))&gt;=D74),"Oui","Non"))))</f>
        <v>S/O</v>
      </c>
      <c r="F74" s="210"/>
      <c r="G74" s="211" t="str">
        <f>IF(E74="S/O","S/O",G$47+MIN(H$47,E$30)+MIN(I$47,F$30)+MIN(J$47,G$30)-D74)</f>
        <v>S/O</v>
      </c>
      <c r="H74" s="212" t="str">
        <f>IF(E74="S/O","S/O",
IF(AND(E$30&gt;0,G$47&gt;0),MAX(D74-G$47,0),0))</f>
        <v>S/O</v>
      </c>
      <c r="I74" s="108"/>
      <c r="J74" s="212" t="str">
        <f>IF(E74="S/O","S/O",
IF(AND($A$68=7,G$30&gt;0,G$47+H$47&gt;=51%*D74),MAX(ROUND(D74-G$47-H$47-I$47,0),0),0))</f>
        <v>S/O</v>
      </c>
      <c r="K74" s="272"/>
      <c r="L74" s="274"/>
    </row>
    <row r="75" spans="1:12" s="181" customFormat="1" ht="45" customHeight="1" x14ac:dyDescent="0.2">
      <c r="A75" s="125"/>
      <c r="B75" s="206" t="s">
        <v>152</v>
      </c>
      <c r="C75" s="216" t="s">
        <v>153</v>
      </c>
      <c r="D75" s="218" t="str">
        <f>IF(A$68=8,MIN(ROUND(10%*E$7,0),ROUND(60000*L$7,0)),"S/O")</f>
        <v>S/O</v>
      </c>
      <c r="E75" s="209" t="str">
        <f t="shared" ref="E75:E84" si="10">IF(D75="S/O","S/O",
IF(G$47&gt;=D75,"Oui",
IF(G$47+MIN(E$30,MAX(D75-G$47,0))&gt;=D75,"Oui",
IF(AND(G$47+MIN(E$30,MAX(D75-G$47,0))&gt;=51%*D75,
G$47+MIN(E$30+G$30,MAX(D75-G$47,0))&gt;=D75),"Oui","Non"))))</f>
        <v>S/O</v>
      </c>
      <c r="F75" s="210"/>
      <c r="G75" s="211" t="str">
        <f>IF(E75="S/O","S/O",G$47+MIN(H$47,E$30)+MIN(I$47,F$30)+MIN(J$47,G$30)-D75)</f>
        <v>S/O</v>
      </c>
      <c r="H75" s="212" t="str">
        <f>IF(E75="S/O","S/O",
IF(AND(E$30&gt;0,G$47&gt;0),MAX(D75-G$47,0),0))</f>
        <v>S/O</v>
      </c>
      <c r="I75" s="107"/>
      <c r="J75" s="212" t="str">
        <f>IF(E75="S/O","S/O",
IF(AND($A$68=8,G$30&gt;0,G$47+H$47&gt;=51%*D75),MAX(ROUND(D75-G$47-H$47-I$47,0),0),0))</f>
        <v>S/O</v>
      </c>
      <c r="K75" s="272"/>
      <c r="L75" s="274"/>
    </row>
    <row r="76" spans="1:12" s="181" customFormat="1" ht="46.5" customHeight="1" x14ac:dyDescent="0.2">
      <c r="A76" s="125"/>
      <c r="B76" s="206" t="s">
        <v>154</v>
      </c>
      <c r="C76" s="219" t="s">
        <v>155</v>
      </c>
      <c r="D76" s="217" t="str">
        <f>IF(A$68=9,MIN(ROUND(10%*E$7,0),60000),"S/O")</f>
        <v>S/O</v>
      </c>
      <c r="E76" s="209" t="str">
        <f t="shared" si="10"/>
        <v>S/O</v>
      </c>
      <c r="F76" s="210"/>
      <c r="G76" s="211" t="str">
        <f>IF(E76="S/O","S/O",G$47+MIN(H$47,E$30)+MIN(I$47,F$30)+MIN(J$47,G$30)-D76)</f>
        <v>S/O</v>
      </c>
      <c r="H76" s="212" t="str">
        <f>IF(E76="S/O","S/O",
IF(AND(E$30&gt;0,G$47&gt;0),MAX(D76-G$47,0),0))</f>
        <v>S/O</v>
      </c>
      <c r="I76" s="109"/>
      <c r="J76" s="212" t="str">
        <f>IF(E76="S/O","S/O",
IF(AND($A$68=9,G$30&gt;0,G$47+H$47&gt;=51%*D76),MAX(ROUND(D76-G$47-H$47-I$47,0),0),0))</f>
        <v>S/O</v>
      </c>
      <c r="K76" s="272"/>
      <c r="L76" s="274"/>
    </row>
    <row r="77" spans="1:12" s="181" customFormat="1" ht="24.95" customHeight="1" x14ac:dyDescent="0.2">
      <c r="A77" s="125"/>
      <c r="B77" s="220" t="s">
        <v>156</v>
      </c>
      <c r="C77" s="221"/>
      <c r="D77" s="202"/>
      <c r="E77" s="222"/>
      <c r="F77" s="204"/>
      <c r="G77" s="205"/>
      <c r="H77" s="205"/>
      <c r="I77" s="106"/>
      <c r="J77" s="223"/>
      <c r="K77" s="272"/>
      <c r="L77" s="274"/>
    </row>
    <row r="78" spans="1:12" s="181" customFormat="1" ht="30" customHeight="1" x14ac:dyDescent="0.2">
      <c r="A78" s="125"/>
      <c r="B78" s="206" t="s">
        <v>157</v>
      </c>
      <c r="C78" s="216">
        <v>0.1</v>
      </c>
      <c r="D78" s="217" t="str">
        <f>IF(A$68=11,ROUND(10%*$E$7,0),"S/O")</f>
        <v>S/O</v>
      </c>
      <c r="E78" s="209" t="str">
        <f t="shared" si="10"/>
        <v>S/O</v>
      </c>
      <c r="F78" s="210"/>
      <c r="G78" s="211" t="str">
        <f>IF(E78="S/O","S/O",G$47+MIN(H$47,E$30)+MIN(I$47,F$30)+MIN(J$47,G$30)-D78)</f>
        <v>S/O</v>
      </c>
      <c r="H78" s="212" t="str">
        <f>IF(E78="S/O","S/O",
IF(AND(E$30&gt;0,G$47&gt;0),MAX(D78-G$47,0),0))</f>
        <v>S/O</v>
      </c>
      <c r="I78" s="111"/>
      <c r="J78" s="212" t="str">
        <f>IF(E78="S/O","S/O",
IF(AND($A$68=11,G$30&gt;0,G$47+H$47&gt;=51%*D78),MAX(ROUND(D78-G$47-H$47-I$47,0),0),0))</f>
        <v>S/O</v>
      </c>
      <c r="K78" s="272"/>
      <c r="L78" s="275" t="s">
        <v>87</v>
      </c>
    </row>
    <row r="79" spans="1:12" s="181" customFormat="1" ht="24.95" customHeight="1" x14ac:dyDescent="0.2">
      <c r="A79" s="125"/>
      <c r="B79" s="220" t="s">
        <v>158</v>
      </c>
      <c r="C79" s="221"/>
      <c r="D79" s="202"/>
      <c r="E79" s="222"/>
      <c r="F79" s="204"/>
      <c r="G79" s="205"/>
      <c r="H79" s="205"/>
      <c r="I79" s="107"/>
      <c r="J79" s="223"/>
      <c r="K79" s="272"/>
      <c r="L79" s="274" t="s">
        <v>85</v>
      </c>
    </row>
    <row r="80" spans="1:12" s="181" customFormat="1" ht="36.75" customHeight="1" x14ac:dyDescent="0.2">
      <c r="A80" s="125"/>
      <c r="B80" s="206" t="s">
        <v>209</v>
      </c>
      <c r="C80" s="216">
        <v>0.1</v>
      </c>
      <c r="D80" s="217" t="str">
        <f>IF($A$68=13,ROUND(10%*$E$7,0),"S/O")</f>
        <v>S/O</v>
      </c>
      <c r="E80" s="209" t="str">
        <f t="shared" si="10"/>
        <v>S/O</v>
      </c>
      <c r="F80" s="210"/>
      <c r="G80" s="211" t="str">
        <f>IF(E80="S/O","S/O",G$47+MIN(H$47,E$30)+MIN(I$47,F$30)+MIN(J$47,G$30)-D80)</f>
        <v>S/O</v>
      </c>
      <c r="H80" s="212" t="str">
        <f>IF(E80="S/O","S/O",
IF(AND(E$30&gt;0,G$47&gt;0),MAX(D80-G$47,0),0))</f>
        <v>S/O</v>
      </c>
      <c r="I80" s="224"/>
      <c r="J80" s="212" t="str">
        <f>IF(E80="S/O","S/O",
IF(AND($A$68=13,G$30&gt;0,G$47+H$47&gt;=51%*D80),MAX(ROUND(D80-G$47-H$47-I$47,0),0),0))</f>
        <v>S/O</v>
      </c>
      <c r="K80" s="272"/>
      <c r="L80" s="272"/>
    </row>
    <row r="81" spans="1:43" s="181" customFormat="1" ht="45" customHeight="1" x14ac:dyDescent="0.2">
      <c r="A81" s="125"/>
      <c r="B81" s="206" t="s">
        <v>159</v>
      </c>
      <c r="C81" s="216" t="s">
        <v>160</v>
      </c>
      <c r="D81" s="218" t="str">
        <f>IF(A$68=14,MIN(ROUND(10%*E$7,0),ROUND(195000*L$7,0)),"S/O")</f>
        <v>S/O</v>
      </c>
      <c r="E81" s="209" t="str">
        <f t="shared" si="10"/>
        <v>S/O</v>
      </c>
      <c r="F81" s="210"/>
      <c r="G81" s="211" t="str">
        <f>IF(E81="S/O","S/O",G$47+MIN(H$47,E$30)+MIN(I$47,F$30)+MIN(J$47,G$30)-D81)</f>
        <v>S/O</v>
      </c>
      <c r="H81" s="212" t="str">
        <f>IF(E81="S/O","S/O",
IF(AND(E$30&gt;0,G$47&gt;0),MAX(D81-G$47,0),0))</f>
        <v>S/O</v>
      </c>
      <c r="I81" s="106"/>
      <c r="J81" s="212" t="str">
        <f>IF(E81="S/O","S/O",
IF(AND($A$68=14,G$30&gt;0,G$47+H$47&gt;=51%*D81),MAX(ROUND(D81-G$47-H$47-I$47,0),0),0))</f>
        <v>S/O</v>
      </c>
      <c r="K81" s="272"/>
      <c r="L81" s="276" t="s">
        <v>164</v>
      </c>
    </row>
    <row r="82" spans="1:43" s="181" customFormat="1" ht="37.5" customHeight="1" x14ac:dyDescent="0.2">
      <c r="A82" s="125"/>
      <c r="B82" s="206" t="s">
        <v>162</v>
      </c>
      <c r="C82" s="219" t="s">
        <v>163</v>
      </c>
      <c r="D82" s="217" t="str">
        <f>IF(A$68=15,MIN(ROUND(10%*E$7,0),150000),"S/O")</f>
        <v>S/O</v>
      </c>
      <c r="E82" s="209" t="str">
        <f t="shared" si="10"/>
        <v>S/O</v>
      </c>
      <c r="F82" s="210"/>
      <c r="G82" s="211" t="str">
        <f>IF(E82="S/O","S/O",G$47+MIN(H$47,E$30)+MIN(I$47,F$30)+MIN(J$47,G$30)-D82)</f>
        <v>S/O</v>
      </c>
      <c r="H82" s="212" t="str">
        <f>IF(E82="S/O","S/O",
IF(AND(E$30&gt;0,G$47&gt;0),MAX(D82-G$47,0),0))</f>
        <v>S/O</v>
      </c>
      <c r="I82" s="110"/>
      <c r="J82" s="212" t="str">
        <f>IF(E82="S/O","S/O",
IF(AND($A$68=15,G$30&gt;0,G$47+H$47&gt;=51%*D82),MAX(ROUND(D82-G$47-H$47-I$47,0),0),0))</f>
        <v>S/O</v>
      </c>
      <c r="K82" s="272"/>
      <c r="L82" s="276" t="s">
        <v>161</v>
      </c>
    </row>
    <row r="83" spans="1:43" s="181" customFormat="1" ht="24.95" customHeight="1" x14ac:dyDescent="0.2">
      <c r="A83" s="125"/>
      <c r="B83" s="220" t="s">
        <v>165</v>
      </c>
      <c r="C83" s="221"/>
      <c r="D83" s="202"/>
      <c r="E83" s="222"/>
      <c r="F83" s="204"/>
      <c r="G83" s="205"/>
      <c r="H83" s="205"/>
      <c r="I83" s="106"/>
      <c r="J83" s="223"/>
      <c r="K83" s="272"/>
      <c r="L83" s="277"/>
    </row>
    <row r="84" spans="1:43" s="181" customFormat="1" ht="45" customHeight="1" x14ac:dyDescent="0.2">
      <c r="A84" s="125"/>
      <c r="B84" s="206" t="s">
        <v>166</v>
      </c>
      <c r="C84" s="216">
        <v>0.1</v>
      </c>
      <c r="D84" s="217" t="str">
        <f>IF($A$68=17,ROUND(10%*$E$7,0),"S/O")</f>
        <v>S/O</v>
      </c>
      <c r="E84" s="209" t="str">
        <f t="shared" si="10"/>
        <v>S/O</v>
      </c>
      <c r="F84" s="210"/>
      <c r="G84" s="211" t="str">
        <f>IF(E84="S/O","S/O",G$47+MIN(H$47,E$30)+MIN(I$47,F$30)+MIN(J$47,G$30)-D84)</f>
        <v>S/O</v>
      </c>
      <c r="H84" s="212" t="str">
        <f>IF(E84="S/O","S/O",
IF(AND(E$30&gt;0,G$47&gt;0),MAX(D84-G$47,0),0))</f>
        <v>S/O</v>
      </c>
      <c r="I84" s="111"/>
      <c r="J84" s="212" t="str">
        <f>IF(E84="S/O","S/O",
IF(AND($A$68=17,G$30&gt;0,G$47+H$47&gt;=51%*D84),MAX(ROUND(D84-G$47-H$47-I$47,0),0),0))</f>
        <v>S/O</v>
      </c>
      <c r="K84" s="272"/>
      <c r="L84" s="274"/>
    </row>
    <row r="85" spans="1:43" s="132" customFormat="1" ht="15" x14ac:dyDescent="0.2">
      <c r="M85" s="181"/>
    </row>
    <row r="86" spans="1:43" s="132" customFormat="1" ht="24.95" customHeight="1" x14ac:dyDescent="0.2">
      <c r="A86" s="481" t="s">
        <v>167</v>
      </c>
      <c r="B86" s="481"/>
    </row>
    <row r="87" spans="1:43" s="181" customFormat="1" ht="38.25" customHeight="1" x14ac:dyDescent="0.2">
      <c r="A87" s="225"/>
      <c r="B87" s="467" t="s">
        <v>168</v>
      </c>
      <c r="C87" s="467"/>
      <c r="D87" s="467"/>
      <c r="E87" s="447" t="s">
        <v>169</v>
      </c>
      <c r="F87" s="448"/>
      <c r="G87" s="449"/>
      <c r="H87" s="482" t="s">
        <v>170</v>
      </c>
      <c r="I87" s="482"/>
      <c r="J87" s="482"/>
      <c r="K87" s="428" t="str">
        <f>_xlfn.CONCAT(IF(L$68=1,L$81,IF(L$68=2,L$82,IF(L$68=3,"Mesure incitative",""))),"***")</f>
        <v>Mesure incitative***</v>
      </c>
      <c r="L87" s="428"/>
      <c r="M87" s="428"/>
    </row>
    <row r="88" spans="1:43" s="181" customFormat="1" ht="45" customHeight="1" x14ac:dyDescent="0.2">
      <c r="A88" s="167" t="s">
        <v>140</v>
      </c>
      <c r="B88" s="200" t="s">
        <v>171</v>
      </c>
      <c r="C88" s="228" t="s">
        <v>172</v>
      </c>
      <c r="D88" s="228" t="s">
        <v>173</v>
      </c>
      <c r="E88" s="229" t="s">
        <v>174</v>
      </c>
      <c r="F88" s="230" t="s">
        <v>175</v>
      </c>
      <c r="G88" s="230" t="s">
        <v>173</v>
      </c>
      <c r="H88" s="226" t="s">
        <v>176</v>
      </c>
      <c r="I88" s="231" t="s">
        <v>175</v>
      </c>
      <c r="J88" s="231" t="s">
        <v>173</v>
      </c>
      <c r="K88" s="227" t="s">
        <v>176</v>
      </c>
      <c r="L88" s="227" t="s">
        <v>175</v>
      </c>
      <c r="M88" s="227" t="s">
        <v>173</v>
      </c>
    </row>
    <row r="89" spans="1:43" s="181" customFormat="1" ht="20.100000000000001" customHeight="1" x14ac:dyDescent="0.2">
      <c r="A89" s="232" t="s">
        <v>177</v>
      </c>
      <c r="B89" s="232"/>
      <c r="C89" s="233"/>
      <c r="D89" s="233"/>
      <c r="E89" s="233"/>
      <c r="F89" s="233"/>
      <c r="G89" s="233"/>
      <c r="H89" s="233"/>
      <c r="I89" s="233"/>
      <c r="J89" s="233"/>
      <c r="K89" s="234"/>
      <c r="L89" s="235"/>
      <c r="M89" s="236"/>
    </row>
    <row r="90" spans="1:43" s="181" customFormat="1" ht="58.15" customHeight="1" x14ac:dyDescent="0.2">
      <c r="A90" s="237" t="s">
        <v>178</v>
      </c>
      <c r="B90" s="239" t="str">
        <f>IF(OR(A$68=2,A$68=3,AND(A$68&gt;5,A$68&lt;12)),IF(AND(E11&lt;&gt;"Oui",E$14&lt;&gt;"Oui"),MIN(550000,ROUND(E$7*0.6,0)),MIN((N(E90)+N(H90)+N(K90)),ROUND(E$7*0.84,0))),"S/O")</f>
        <v>S/O</v>
      </c>
      <c r="C90" s="238" t="str">
        <f>IF(OR(A$68=2,A$68=3,AND(A$68&gt;5,A$68&lt;12)),IF(OR(B90&lt;C30+C48,F90="Non",I90="Non",L90="Non"),"Non","Oui"),"S/O")</f>
        <v>S/O</v>
      </c>
      <c r="D90" s="239" t="str">
        <f>IF(C90="Non",MAX(C30+C48-B90,IF(G90="S/O",0,G90)+IF(J90="S/O",0,J90)+IF(M90="S/O",0,M90)),"S/O")</f>
        <v>S/O</v>
      </c>
      <c r="E90" s="168" t="str">
        <f>IF(OR(A$68=2,A$68=3,AND(A$68&gt;5,A$68&lt;12)),MIN(550000,ROUND(E7*0.6,0)),"S/O")</f>
        <v>S/O</v>
      </c>
      <c r="F90" s="240" t="str">
        <f>IF(OR(A$68=2,A$68=3,AND(A$68&gt;5,A$68&lt;12)),IF(E90&gt;=E16,"Oui","Non"),"S/O")</f>
        <v>S/O</v>
      </c>
      <c r="G90" s="241" t="str">
        <f>IF($F90="Non",E16-E90,"S/O")</f>
        <v>S/O</v>
      </c>
      <c r="H90" s="168" t="str">
        <f>IF(OR(A$68=2,A$68=3,AND(A$68&gt;5,A$68&lt;12)),IF(E$14="Oui",IF(MAX(84%*E$7-E90,0)&lt;E$7*F$9,ROUND(MAX(84%*E$7-E90,0),0),ROUND(E$7*F$9,0)),"S/O"),"S/O")</f>
        <v>S/O</v>
      </c>
      <c r="I90" s="241" t="str">
        <f>IF(OR(A$68=2,A$68=3,AND(A$68&gt;5,A$68&lt;12)),IF(E14="Oui",IF(H90&gt;=(E15),"Oui","Non"),"S/O"),"S/O")</f>
        <v>S/O</v>
      </c>
      <c r="J90" s="242" t="str">
        <f>IF(I90="Non",E15-H90,"S/O")</f>
        <v>S/O</v>
      </c>
      <c r="K90" s="168" t="str">
        <f>IF(OR(A$68=2,A$68=3,AND(A$68&gt;5,A$68&lt;12)),IF(E$11="Oui",IF(L$68=1,MIN(ROUND(E$7*15%,0),225000),
IF(L$68=2,MIN(ROUND(E$7*30%,0),200000),"S/O")),"S/O"),"S/O")</f>
        <v>S/O</v>
      </c>
      <c r="L90" s="243" t="str">
        <f>IF(K$90="S/O","S/O",IF(K$90&gt;=E$12,"Oui","Non"))</f>
        <v>S/O</v>
      </c>
      <c r="M90" s="244" t="str">
        <f>IF(L90="Non",E12-K90,"S/O")</f>
        <v>S/O</v>
      </c>
    </row>
    <row r="91" spans="1:43" s="181" customFormat="1" ht="20.100000000000001" customHeight="1" x14ac:dyDescent="0.2">
      <c r="A91" s="232" t="s">
        <v>179</v>
      </c>
      <c r="B91" s="232"/>
      <c r="C91" s="233"/>
      <c r="D91" s="233"/>
      <c r="E91" s="233"/>
      <c r="F91" s="233"/>
      <c r="G91" s="233"/>
      <c r="H91" s="233"/>
      <c r="I91" s="233"/>
      <c r="J91" s="233"/>
      <c r="K91" s="233"/>
      <c r="L91" s="245"/>
      <c r="M91" s="246"/>
    </row>
    <row r="92" spans="1:43" s="181" customFormat="1" ht="58.15" customHeight="1" x14ac:dyDescent="0.2">
      <c r="A92" s="247" t="s">
        <v>180</v>
      </c>
      <c r="B92" s="239" t="str">
        <f>IF(OR(A$68=4,A$68=5,AND(A$68&gt;11,A$68&lt;18)),IF(AND(E11&lt;&gt;"Oui",E$14&lt;&gt;"Oui"),MIN(550000,ROUND(E$7*60%,0)),MIN((N(E92)+N(H92)+N(K92)),ROUND(E$7*84%,0))),"S/O")</f>
        <v>S/O</v>
      </c>
      <c r="C92" s="238" t="str">
        <f>IF(OR(A$68=4,A$68=5,AND(A$68&gt;11,A$68&lt;18)),IF(OR(B92&lt;C30+C48,F92="Non",I92="Non",L92="Non"),"Non","Oui"),"S/O")</f>
        <v>S/O</v>
      </c>
      <c r="D92" s="239" t="str">
        <f>IF(C92="Non",MAX(C30+C48-B92,IF(G92="S/O",0,G92)+IF(J92="S/O",0,J92)+IF(M92="S/O",0,M92)),"S/O")</f>
        <v>S/O</v>
      </c>
      <c r="E92" s="239" t="str">
        <f>IF(OR(A$68=4,A$68=5,AND(A$68&gt;11,A$68&lt;18)),MIN(750000,ROUND(E7*0.6,0)),"S/O")</f>
        <v>S/O</v>
      </c>
      <c r="F92" s="238" t="str">
        <f>IF(OR(A$68=4,A$68=5,AND(A$68&gt;11,A$68&lt;18)),IF(E92&gt;=E16,"Oui","Non"),"S/O")</f>
        <v>S/O</v>
      </c>
      <c r="G92" s="242" t="str">
        <f>IF(F92="Non",E16-E92,"S/O")</f>
        <v>S/O</v>
      </c>
      <c r="H92" s="168" t="str">
        <f>IF(OR(A$68=4,A$68=5,AND(A$68&gt;11,A$68&lt;18)),IF(E14="Oui",IF(MAX(84%*E$7-E92,0)&lt;E$7*F$9,ROUND(MAX(84%*E$7-E92,0),0),ROUND(E$7*F$9,0)),"S/O"),"S/O")</f>
        <v>S/O</v>
      </c>
      <c r="I92" s="242" t="str">
        <f>IF(OR(A$68=4,A$68=5,AND(A$68&gt;11,A$68&lt;18)),IF(E14="Oui",IF(H92&gt;=E15,"Oui","Non"),"S/O"),"S/O")</f>
        <v>S/O</v>
      </c>
      <c r="J92" s="242" t="str">
        <f>IF(I92="Non",E15-H92,"S/O")</f>
        <v>S/O</v>
      </c>
      <c r="K92" s="243" t="str">
        <f>IF(OR(A$68=4,A$68=5,AND(A$68&gt;11,A$68&lt;18)),IF(E$11="Oui",IF(L$68=1,MIN(ROUND(E$7*15%,0),225000),
IF(L$68=2,MIN(ROUND(E$7*30%,0),200000),"S/O")),"S/O"),"S/O")</f>
        <v>S/O</v>
      </c>
      <c r="L92" s="248" t="str">
        <f>IF(K$92="S/O","S/O",IF(K$92&gt;=E$12,"Oui","Non"))</f>
        <v>S/O</v>
      </c>
      <c r="M92" s="244" t="str">
        <f>IF(L92="Non",E12-K92,"S/O")</f>
        <v>S/O</v>
      </c>
    </row>
    <row r="93" spans="1:43" s="181" customFormat="1" ht="20.100000000000001" customHeight="1" x14ac:dyDescent="0.2">
      <c r="A93" s="249"/>
      <c r="B93" s="250"/>
      <c r="C93" s="249"/>
      <c r="D93" s="249"/>
      <c r="E93" s="249"/>
      <c r="F93" s="249"/>
      <c r="G93" s="249"/>
      <c r="H93" s="249"/>
      <c r="I93" s="249"/>
      <c r="J93" s="249"/>
      <c r="K93" s="249"/>
      <c r="L93" s="251"/>
      <c r="M93" s="251"/>
    </row>
    <row r="94" spans="1:43" s="181" customFormat="1" ht="30" customHeight="1" x14ac:dyDescent="0.2">
      <c r="A94" s="252" t="s">
        <v>181</v>
      </c>
      <c r="B94" s="429" t="s">
        <v>164</v>
      </c>
      <c r="C94" s="430"/>
      <c r="D94" s="473" t="s">
        <v>182</v>
      </c>
      <c r="E94" s="471"/>
      <c r="F94" s="472"/>
      <c r="G94" s="249"/>
      <c r="H94" s="249"/>
      <c r="I94" s="249"/>
      <c r="J94" s="249"/>
      <c r="K94" s="249"/>
      <c r="L94" s="249"/>
      <c r="M94" s="249"/>
    </row>
    <row r="95" spans="1:43" s="181" customFormat="1" ht="30" customHeight="1" x14ac:dyDescent="0.2">
      <c r="A95" s="252" t="s">
        <v>181</v>
      </c>
      <c r="B95" s="429" t="s">
        <v>161</v>
      </c>
      <c r="C95" s="430"/>
      <c r="D95" s="470" t="s">
        <v>183</v>
      </c>
      <c r="E95" s="471"/>
      <c r="F95" s="472"/>
      <c r="G95" s="249"/>
      <c r="H95" s="249"/>
      <c r="I95" s="249"/>
      <c r="J95" s="249"/>
      <c r="K95" s="249"/>
      <c r="L95" s="249"/>
      <c r="M95" s="249"/>
    </row>
    <row r="96" spans="1:43" s="255" customFormat="1" x14ac:dyDescent="0.2">
      <c r="A96" s="253"/>
      <c r="B96" s="254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</row>
    <row r="97" spans="1:43" s="255" customFormat="1" x14ac:dyDescent="0.2">
      <c r="A97" s="253"/>
      <c r="B97" s="254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</row>
    <row r="98" spans="1:43" s="255" customFormat="1" x14ac:dyDescent="0.2">
      <c r="A98" s="253"/>
      <c r="B98" s="254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</row>
    <row r="99" spans="1:43" s="255" customFormat="1" x14ac:dyDescent="0.2">
      <c r="A99" s="253"/>
      <c r="B99" s="254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</row>
    <row r="100" spans="1:43" s="255" customFormat="1" x14ac:dyDescent="0.2">
      <c r="A100" s="253"/>
      <c r="B100" s="254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</row>
    <row r="101" spans="1:43" s="255" customFormat="1" x14ac:dyDescent="0.2">
      <c r="A101" s="253"/>
      <c r="B101" s="254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</row>
    <row r="102" spans="1:43" s="255" customFormat="1" x14ac:dyDescent="0.2">
      <c r="A102" s="253"/>
      <c r="B102" s="254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</row>
    <row r="103" spans="1:43" s="255" customFormat="1" x14ac:dyDescent="0.2">
      <c r="A103" s="253"/>
      <c r="B103" s="254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</row>
    <row r="104" spans="1:43" s="255" customFormat="1" x14ac:dyDescent="0.2">
      <c r="A104" s="253"/>
      <c r="B104" s="254"/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</row>
    <row r="105" spans="1:43" s="255" customFormat="1" x14ac:dyDescent="0.2">
      <c r="A105" s="253"/>
      <c r="B105" s="254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</row>
    <row r="106" spans="1:43" s="255" customFormat="1" x14ac:dyDescent="0.2">
      <c r="A106" s="253"/>
      <c r="B106" s="254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</row>
    <row r="107" spans="1:43" s="255" customFormat="1" x14ac:dyDescent="0.2">
      <c r="A107" s="253"/>
      <c r="B107" s="254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</row>
    <row r="108" spans="1:43" s="255" customFormat="1" x14ac:dyDescent="0.2">
      <c r="A108" s="253"/>
      <c r="B108" s="254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</row>
    <row r="109" spans="1:43" s="255" customFormat="1" x14ac:dyDescent="0.2">
      <c r="A109" s="253"/>
      <c r="B109" s="254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</row>
    <row r="110" spans="1:43" s="255" customFormat="1" x14ac:dyDescent="0.2">
      <c r="A110" s="253"/>
      <c r="B110" s="254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</row>
    <row r="111" spans="1:43" s="255" customFormat="1" x14ac:dyDescent="0.2">
      <c r="A111" s="253"/>
      <c r="B111" s="254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</row>
    <row r="112" spans="1:43" s="255" customFormat="1" x14ac:dyDescent="0.2">
      <c r="A112" s="253"/>
      <c r="B112" s="254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</row>
    <row r="113" spans="1:43" s="255" customFormat="1" x14ac:dyDescent="0.2">
      <c r="A113" s="253"/>
      <c r="B113" s="254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</row>
    <row r="114" spans="1:43" s="255" customFormat="1" x14ac:dyDescent="0.2">
      <c r="A114" s="253"/>
      <c r="B114" s="254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</row>
    <row r="115" spans="1:43" s="255" customFormat="1" x14ac:dyDescent="0.2">
      <c r="A115" s="253"/>
      <c r="B115" s="254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</row>
    <row r="116" spans="1:43" s="255" customFormat="1" x14ac:dyDescent="0.2">
      <c r="A116" s="253"/>
      <c r="B116" s="254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</row>
    <row r="117" spans="1:43" s="255" customFormat="1" x14ac:dyDescent="0.2">
      <c r="A117" s="253"/>
      <c r="B117" s="254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</row>
    <row r="118" spans="1:43" s="255" customFormat="1" x14ac:dyDescent="0.2">
      <c r="A118" s="253"/>
      <c r="B118" s="254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</row>
    <row r="119" spans="1:43" s="255" customFormat="1" x14ac:dyDescent="0.2">
      <c r="A119" s="253"/>
      <c r="B119" s="254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</row>
    <row r="120" spans="1:43" s="255" customFormat="1" x14ac:dyDescent="0.2">
      <c r="A120" s="253"/>
      <c r="B120" s="254"/>
      <c r="C120" s="253"/>
      <c r="D120" s="253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</row>
    <row r="121" spans="1:43" s="255" customFormat="1" x14ac:dyDescent="0.2">
      <c r="A121" s="253"/>
      <c r="B121" s="254"/>
      <c r="C121" s="253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</row>
    <row r="122" spans="1:43" s="255" customFormat="1" x14ac:dyDescent="0.2">
      <c r="A122" s="253"/>
      <c r="B122" s="254"/>
      <c r="C122" s="253"/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</row>
    <row r="123" spans="1:43" s="255" customFormat="1" x14ac:dyDescent="0.2">
      <c r="A123" s="253"/>
      <c r="B123" s="254"/>
      <c r="C123" s="253"/>
      <c r="D123" s="253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</row>
    <row r="124" spans="1:43" s="255" customFormat="1" x14ac:dyDescent="0.2">
      <c r="A124" s="253"/>
      <c r="B124" s="254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</row>
    <row r="125" spans="1:43" s="255" customFormat="1" x14ac:dyDescent="0.2">
      <c r="A125" s="253"/>
      <c r="B125" s="254"/>
      <c r="C125" s="253"/>
      <c r="D125" s="253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</row>
    <row r="126" spans="1:43" s="255" customFormat="1" x14ac:dyDescent="0.2">
      <c r="A126" s="253"/>
      <c r="B126" s="254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</row>
    <row r="127" spans="1:43" s="255" customFormat="1" x14ac:dyDescent="0.2">
      <c r="A127" s="253"/>
      <c r="B127" s="254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</row>
    <row r="128" spans="1:43" s="255" customFormat="1" x14ac:dyDescent="0.2">
      <c r="A128" s="253"/>
      <c r="B128" s="254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</row>
    <row r="129" spans="1:43" s="255" customFormat="1" x14ac:dyDescent="0.2">
      <c r="A129" s="253"/>
      <c r="B129" s="254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</row>
    <row r="130" spans="1:43" s="255" customFormat="1" x14ac:dyDescent="0.2">
      <c r="A130" s="253"/>
      <c r="B130" s="254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</row>
    <row r="131" spans="1:43" s="255" customFormat="1" x14ac:dyDescent="0.2">
      <c r="A131" s="253"/>
      <c r="B131" s="254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</row>
    <row r="132" spans="1:43" s="255" customFormat="1" x14ac:dyDescent="0.2">
      <c r="A132" s="253"/>
      <c r="B132" s="254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</row>
    <row r="133" spans="1:43" s="255" customFormat="1" x14ac:dyDescent="0.2">
      <c r="A133" s="253"/>
      <c r="B133" s="254"/>
      <c r="C133" s="253"/>
      <c r="D133" s="253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</row>
    <row r="134" spans="1:43" s="255" customFormat="1" x14ac:dyDescent="0.2">
      <c r="A134" s="253"/>
      <c r="B134" s="254"/>
      <c r="C134" s="253"/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</row>
    <row r="135" spans="1:43" s="255" customFormat="1" x14ac:dyDescent="0.2">
      <c r="A135" s="253"/>
      <c r="B135" s="254"/>
      <c r="C135" s="253"/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</row>
    <row r="136" spans="1:43" s="255" customFormat="1" x14ac:dyDescent="0.2">
      <c r="A136" s="253"/>
      <c r="B136" s="254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</row>
    <row r="137" spans="1:43" s="255" customFormat="1" x14ac:dyDescent="0.2">
      <c r="A137" s="253"/>
      <c r="B137" s="254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</row>
    <row r="138" spans="1:43" s="255" customFormat="1" x14ac:dyDescent="0.2">
      <c r="A138" s="253"/>
      <c r="B138" s="254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</row>
    <row r="139" spans="1:43" s="255" customFormat="1" x14ac:dyDescent="0.2">
      <c r="A139" s="253"/>
      <c r="B139" s="254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</row>
    <row r="140" spans="1:43" s="255" customFormat="1" x14ac:dyDescent="0.2">
      <c r="A140" s="253"/>
      <c r="B140" s="254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</row>
    <row r="141" spans="1:43" s="255" customFormat="1" x14ac:dyDescent="0.2">
      <c r="A141" s="253"/>
      <c r="B141" s="254"/>
      <c r="C141" s="253"/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</row>
    <row r="142" spans="1:43" s="255" customFormat="1" x14ac:dyDescent="0.2">
      <c r="A142" s="253"/>
      <c r="B142" s="254"/>
      <c r="C142" s="253"/>
      <c r="D142" s="253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</row>
    <row r="143" spans="1:43" s="255" customFormat="1" x14ac:dyDescent="0.2">
      <c r="A143" s="253"/>
      <c r="B143" s="254"/>
      <c r="C143" s="253"/>
      <c r="D143" s="253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</row>
    <row r="144" spans="1:43" s="255" customFormat="1" x14ac:dyDescent="0.2">
      <c r="A144" s="253"/>
      <c r="B144" s="254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</row>
    <row r="145" spans="1:43" s="255" customFormat="1" x14ac:dyDescent="0.2">
      <c r="A145" s="253"/>
      <c r="B145" s="254"/>
      <c r="C145" s="253"/>
      <c r="D145" s="253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</row>
    <row r="146" spans="1:43" s="255" customFormat="1" x14ac:dyDescent="0.2">
      <c r="A146" s="253"/>
      <c r="B146" s="254"/>
      <c r="C146" s="253"/>
      <c r="D146" s="253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</row>
    <row r="147" spans="1:43" s="255" customFormat="1" x14ac:dyDescent="0.2">
      <c r="A147" s="253"/>
      <c r="B147" s="254"/>
      <c r="C147" s="253"/>
      <c r="D147" s="253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</row>
    <row r="148" spans="1:43" s="255" customFormat="1" x14ac:dyDescent="0.2">
      <c r="A148" s="253"/>
      <c r="B148" s="254"/>
      <c r="C148" s="253"/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</row>
    <row r="149" spans="1:43" s="255" customFormat="1" x14ac:dyDescent="0.2">
      <c r="A149" s="253"/>
      <c r="B149" s="254"/>
      <c r="C149" s="253"/>
      <c r="D149" s="253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</row>
    <row r="150" spans="1:43" s="255" customFormat="1" x14ac:dyDescent="0.2">
      <c r="A150" s="253"/>
      <c r="B150" s="254"/>
      <c r="C150" s="253"/>
      <c r="D150" s="253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</row>
    <row r="151" spans="1:43" s="255" customFormat="1" x14ac:dyDescent="0.2">
      <c r="A151" s="253"/>
      <c r="B151" s="254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</row>
    <row r="152" spans="1:43" s="255" customFormat="1" x14ac:dyDescent="0.2">
      <c r="A152" s="253"/>
      <c r="B152" s="254"/>
      <c r="C152" s="253"/>
      <c r="D152" s="253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</row>
    <row r="153" spans="1:43" s="255" customFormat="1" x14ac:dyDescent="0.2">
      <c r="A153" s="253"/>
      <c r="B153" s="254"/>
      <c r="C153" s="253"/>
      <c r="D153" s="253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</row>
    <row r="154" spans="1:43" s="255" customFormat="1" x14ac:dyDescent="0.2">
      <c r="A154" s="253"/>
      <c r="B154" s="254"/>
      <c r="C154" s="253"/>
      <c r="D154" s="253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3"/>
    </row>
    <row r="155" spans="1:43" s="255" customFormat="1" x14ac:dyDescent="0.2">
      <c r="A155" s="253"/>
      <c r="B155" s="254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53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3"/>
    </row>
    <row r="156" spans="1:43" s="255" customFormat="1" x14ac:dyDescent="0.2">
      <c r="A156" s="253"/>
      <c r="B156" s="254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</row>
    <row r="157" spans="1:43" s="255" customFormat="1" x14ac:dyDescent="0.2">
      <c r="A157" s="253"/>
      <c r="B157" s="254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</row>
    <row r="158" spans="1:43" s="255" customFormat="1" x14ac:dyDescent="0.2">
      <c r="A158" s="253"/>
      <c r="B158" s="254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</row>
    <row r="159" spans="1:43" s="255" customFormat="1" x14ac:dyDescent="0.2">
      <c r="A159" s="253"/>
      <c r="B159" s="254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</row>
    <row r="160" spans="1:43" s="255" customFormat="1" x14ac:dyDescent="0.2">
      <c r="A160" s="253"/>
      <c r="B160" s="254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</row>
    <row r="161" spans="1:43" s="255" customFormat="1" x14ac:dyDescent="0.2">
      <c r="A161" s="253"/>
      <c r="B161" s="254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</row>
    <row r="162" spans="1:43" s="255" customFormat="1" x14ac:dyDescent="0.2">
      <c r="A162" s="253"/>
      <c r="B162" s="254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</row>
    <row r="163" spans="1:43" s="255" customFormat="1" x14ac:dyDescent="0.2">
      <c r="A163" s="253"/>
      <c r="B163" s="254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</row>
    <row r="164" spans="1:43" s="255" customFormat="1" x14ac:dyDescent="0.2">
      <c r="A164" s="253"/>
      <c r="B164" s="254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</row>
    <row r="165" spans="1:43" s="255" customFormat="1" x14ac:dyDescent="0.2">
      <c r="A165" s="253"/>
      <c r="B165" s="254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</row>
    <row r="166" spans="1:43" s="255" customFormat="1" x14ac:dyDescent="0.2">
      <c r="A166" s="253"/>
      <c r="B166" s="254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</row>
    <row r="167" spans="1:43" s="255" customFormat="1" x14ac:dyDescent="0.2">
      <c r="A167" s="253"/>
      <c r="B167" s="254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</row>
    <row r="168" spans="1:43" s="255" customFormat="1" x14ac:dyDescent="0.2">
      <c r="A168" s="253"/>
      <c r="B168" s="254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</row>
    <row r="169" spans="1:43" s="255" customFormat="1" x14ac:dyDescent="0.2">
      <c r="A169" s="253"/>
      <c r="B169" s="254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</row>
    <row r="170" spans="1:43" s="255" customFormat="1" x14ac:dyDescent="0.2">
      <c r="A170" s="253"/>
      <c r="B170" s="254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</row>
    <row r="171" spans="1:43" s="255" customFormat="1" x14ac:dyDescent="0.2">
      <c r="A171" s="253"/>
      <c r="B171" s="254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</row>
    <row r="172" spans="1:43" s="255" customFormat="1" x14ac:dyDescent="0.2">
      <c r="A172" s="253"/>
      <c r="B172" s="254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</row>
    <row r="173" spans="1:43" s="255" customFormat="1" x14ac:dyDescent="0.2">
      <c r="A173" s="253"/>
      <c r="B173" s="254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</row>
    <row r="174" spans="1:43" s="255" customFormat="1" x14ac:dyDescent="0.2">
      <c r="A174" s="253"/>
      <c r="B174" s="254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</row>
    <row r="175" spans="1:43" s="255" customFormat="1" x14ac:dyDescent="0.2">
      <c r="A175" s="253"/>
      <c r="B175" s="254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</row>
    <row r="176" spans="1:43" s="255" customFormat="1" x14ac:dyDescent="0.2">
      <c r="A176" s="253"/>
      <c r="B176" s="254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</row>
    <row r="177" spans="1:43" s="255" customFormat="1" x14ac:dyDescent="0.2">
      <c r="A177" s="253"/>
      <c r="B177" s="254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</row>
    <row r="178" spans="1:43" s="255" customFormat="1" x14ac:dyDescent="0.2">
      <c r="A178" s="253"/>
      <c r="B178" s="254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</row>
    <row r="179" spans="1:43" s="255" customFormat="1" x14ac:dyDescent="0.2">
      <c r="A179" s="253"/>
      <c r="B179" s="254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</row>
    <row r="180" spans="1:43" s="255" customFormat="1" x14ac:dyDescent="0.2">
      <c r="A180" s="253"/>
      <c r="B180" s="254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</row>
    <row r="181" spans="1:43" s="255" customFormat="1" x14ac:dyDescent="0.2">
      <c r="A181" s="253"/>
      <c r="B181" s="254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</row>
    <row r="182" spans="1:43" s="255" customFormat="1" x14ac:dyDescent="0.2">
      <c r="A182" s="253"/>
      <c r="B182" s="254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</row>
    <row r="183" spans="1:43" s="255" customFormat="1" x14ac:dyDescent="0.2">
      <c r="A183" s="253"/>
      <c r="B183" s="254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</row>
    <row r="184" spans="1:43" s="255" customFormat="1" x14ac:dyDescent="0.2">
      <c r="A184" s="253"/>
      <c r="B184" s="254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</row>
    <row r="185" spans="1:43" s="255" customFormat="1" x14ac:dyDescent="0.2">
      <c r="A185" s="253"/>
      <c r="B185" s="254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</row>
    <row r="186" spans="1:43" s="255" customFormat="1" x14ac:dyDescent="0.2">
      <c r="A186" s="253"/>
      <c r="B186" s="254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</row>
    <row r="187" spans="1:43" s="255" customFormat="1" x14ac:dyDescent="0.2">
      <c r="A187" s="253"/>
      <c r="B187" s="254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</row>
    <row r="188" spans="1:43" s="255" customFormat="1" x14ac:dyDescent="0.2">
      <c r="A188" s="253"/>
      <c r="B188" s="254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</row>
    <row r="189" spans="1:43" s="255" customFormat="1" x14ac:dyDescent="0.2">
      <c r="A189" s="253"/>
      <c r="B189" s="254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</row>
    <row r="190" spans="1:43" s="255" customFormat="1" x14ac:dyDescent="0.2">
      <c r="A190" s="253"/>
      <c r="B190" s="254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</row>
    <row r="191" spans="1:43" s="255" customFormat="1" x14ac:dyDescent="0.2">
      <c r="A191" s="253"/>
      <c r="B191" s="254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</row>
    <row r="192" spans="1:43" s="255" customFormat="1" x14ac:dyDescent="0.2">
      <c r="A192" s="253"/>
      <c r="B192" s="254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</row>
    <row r="193" spans="1:43" s="255" customFormat="1" x14ac:dyDescent="0.2">
      <c r="A193" s="253"/>
      <c r="B193" s="254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</row>
    <row r="194" spans="1:43" s="255" customFormat="1" x14ac:dyDescent="0.2">
      <c r="A194" s="253"/>
      <c r="B194" s="254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</row>
    <row r="195" spans="1:43" s="255" customFormat="1" x14ac:dyDescent="0.2">
      <c r="A195" s="253"/>
      <c r="B195" s="254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</row>
    <row r="196" spans="1:43" s="255" customFormat="1" x14ac:dyDescent="0.2">
      <c r="A196" s="253"/>
      <c r="B196" s="254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</row>
    <row r="197" spans="1:43" s="255" customFormat="1" x14ac:dyDescent="0.2">
      <c r="A197" s="253"/>
      <c r="B197" s="254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</row>
    <row r="198" spans="1:43" s="255" customFormat="1" x14ac:dyDescent="0.2">
      <c r="A198" s="253"/>
      <c r="B198" s="254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</row>
    <row r="199" spans="1:43" s="255" customFormat="1" x14ac:dyDescent="0.2">
      <c r="A199" s="253"/>
      <c r="B199" s="254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</row>
    <row r="200" spans="1:43" s="255" customFormat="1" x14ac:dyDescent="0.2">
      <c r="A200" s="253"/>
      <c r="B200" s="254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</row>
    <row r="201" spans="1:43" s="255" customFormat="1" x14ac:dyDescent="0.2">
      <c r="A201" s="253"/>
      <c r="B201" s="254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</row>
    <row r="202" spans="1:43" s="255" customFormat="1" x14ac:dyDescent="0.2">
      <c r="A202" s="253"/>
      <c r="B202" s="254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</row>
    <row r="203" spans="1:43" s="255" customFormat="1" x14ac:dyDescent="0.2">
      <c r="A203" s="253"/>
      <c r="B203" s="254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</row>
    <row r="204" spans="1:43" s="255" customFormat="1" x14ac:dyDescent="0.2">
      <c r="A204" s="253"/>
      <c r="B204" s="254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</row>
    <row r="205" spans="1:43" s="255" customFormat="1" x14ac:dyDescent="0.2">
      <c r="A205" s="253"/>
      <c r="B205" s="254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</row>
    <row r="206" spans="1:43" s="255" customFormat="1" x14ac:dyDescent="0.2">
      <c r="A206" s="253"/>
      <c r="B206" s="254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</row>
    <row r="207" spans="1:43" s="255" customFormat="1" x14ac:dyDescent="0.2">
      <c r="A207" s="253"/>
      <c r="B207" s="254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</row>
    <row r="208" spans="1:43" s="255" customFormat="1" x14ac:dyDescent="0.2">
      <c r="A208" s="253"/>
      <c r="B208" s="254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</row>
    <row r="209" spans="1:43" s="255" customFormat="1" x14ac:dyDescent="0.2">
      <c r="A209" s="253"/>
      <c r="B209" s="254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</row>
    <row r="210" spans="1:43" s="255" customFormat="1" x14ac:dyDescent="0.2">
      <c r="A210" s="253"/>
      <c r="B210" s="254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</row>
    <row r="211" spans="1:43" s="255" customFormat="1" x14ac:dyDescent="0.2">
      <c r="A211" s="253"/>
      <c r="B211" s="254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3"/>
    </row>
    <row r="212" spans="1:43" s="255" customFormat="1" x14ac:dyDescent="0.2">
      <c r="A212" s="253"/>
      <c r="B212" s="254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</row>
    <row r="213" spans="1:43" s="255" customFormat="1" x14ac:dyDescent="0.2">
      <c r="A213" s="253"/>
      <c r="B213" s="254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</row>
    <row r="214" spans="1:43" s="255" customFormat="1" x14ac:dyDescent="0.2">
      <c r="A214" s="253"/>
      <c r="B214" s="254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</row>
    <row r="215" spans="1:43" s="255" customFormat="1" x14ac:dyDescent="0.2">
      <c r="A215" s="253"/>
      <c r="B215" s="254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</row>
    <row r="216" spans="1:43" s="255" customFormat="1" x14ac:dyDescent="0.2">
      <c r="A216" s="253"/>
      <c r="B216" s="254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</row>
    <row r="217" spans="1:43" s="255" customFormat="1" x14ac:dyDescent="0.2">
      <c r="A217" s="253"/>
      <c r="B217" s="254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</row>
    <row r="218" spans="1:43" s="255" customFormat="1" x14ac:dyDescent="0.2">
      <c r="A218" s="253"/>
      <c r="B218" s="254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</row>
    <row r="219" spans="1:43" s="255" customFormat="1" x14ac:dyDescent="0.2">
      <c r="A219" s="253"/>
      <c r="B219" s="254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</row>
    <row r="220" spans="1:43" s="255" customFormat="1" x14ac:dyDescent="0.2">
      <c r="A220" s="253"/>
      <c r="B220" s="254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</row>
    <row r="221" spans="1:43" s="255" customFormat="1" x14ac:dyDescent="0.2">
      <c r="A221" s="253"/>
      <c r="B221" s="254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</row>
    <row r="222" spans="1:43" s="255" customFormat="1" x14ac:dyDescent="0.2">
      <c r="A222" s="253"/>
      <c r="B222" s="254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</row>
    <row r="223" spans="1:43" s="255" customFormat="1" x14ac:dyDescent="0.2">
      <c r="A223" s="253"/>
      <c r="B223" s="254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</row>
    <row r="224" spans="1:43" s="255" customFormat="1" x14ac:dyDescent="0.2">
      <c r="A224" s="253"/>
      <c r="B224" s="254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  <c r="AB224" s="253"/>
      <c r="AC224" s="253"/>
      <c r="AD224" s="253"/>
      <c r="AE224" s="253"/>
      <c r="AF224" s="253"/>
      <c r="AG224" s="253"/>
      <c r="AH224" s="253"/>
      <c r="AI224" s="253"/>
      <c r="AJ224" s="253"/>
      <c r="AK224" s="253"/>
      <c r="AL224" s="253"/>
      <c r="AM224" s="253"/>
      <c r="AN224" s="253"/>
      <c r="AO224" s="253"/>
      <c r="AP224" s="253"/>
      <c r="AQ224" s="253"/>
    </row>
    <row r="225" spans="1:43" s="255" customFormat="1" x14ac:dyDescent="0.2">
      <c r="A225" s="253"/>
      <c r="B225" s="254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  <c r="AB225" s="253"/>
      <c r="AC225" s="253"/>
      <c r="AD225" s="253"/>
      <c r="AE225" s="253"/>
      <c r="AF225" s="253"/>
      <c r="AG225" s="253"/>
      <c r="AH225" s="253"/>
      <c r="AI225" s="253"/>
      <c r="AJ225" s="253"/>
      <c r="AK225" s="253"/>
      <c r="AL225" s="253"/>
      <c r="AM225" s="253"/>
      <c r="AN225" s="253"/>
      <c r="AO225" s="253"/>
      <c r="AP225" s="253"/>
      <c r="AQ225" s="253"/>
    </row>
    <row r="226" spans="1:43" s="255" customFormat="1" x14ac:dyDescent="0.2">
      <c r="A226" s="253"/>
      <c r="B226" s="254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</row>
    <row r="227" spans="1:43" s="255" customFormat="1" x14ac:dyDescent="0.2">
      <c r="A227" s="253"/>
      <c r="B227" s="254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</row>
    <row r="228" spans="1:43" s="255" customFormat="1" x14ac:dyDescent="0.2">
      <c r="A228" s="253"/>
      <c r="B228" s="254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</row>
    <row r="229" spans="1:43" s="255" customFormat="1" x14ac:dyDescent="0.2">
      <c r="A229" s="253"/>
      <c r="B229" s="254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</row>
    <row r="230" spans="1:43" s="255" customFormat="1" x14ac:dyDescent="0.2">
      <c r="A230" s="253"/>
      <c r="B230" s="254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</row>
    <row r="231" spans="1:43" s="255" customFormat="1" x14ac:dyDescent="0.2">
      <c r="A231" s="253"/>
      <c r="B231" s="254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</row>
    <row r="232" spans="1:43" s="255" customFormat="1" x14ac:dyDescent="0.2">
      <c r="A232" s="253"/>
      <c r="B232" s="254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</row>
    <row r="233" spans="1:43" s="255" customFormat="1" x14ac:dyDescent="0.2">
      <c r="A233" s="253"/>
      <c r="B233" s="254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</row>
    <row r="234" spans="1:43" s="255" customFormat="1" x14ac:dyDescent="0.2">
      <c r="A234" s="253"/>
      <c r="B234" s="254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</row>
    <row r="235" spans="1:43" s="255" customFormat="1" x14ac:dyDescent="0.2">
      <c r="A235" s="253"/>
      <c r="B235" s="254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</row>
    <row r="236" spans="1:43" s="255" customFormat="1" x14ac:dyDescent="0.2">
      <c r="A236" s="253"/>
      <c r="B236" s="254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</row>
    <row r="237" spans="1:43" s="255" customFormat="1" x14ac:dyDescent="0.2">
      <c r="A237" s="253"/>
      <c r="B237" s="254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</row>
  </sheetData>
  <sheetProtection algorithmName="SHA-512" hashValue="9RceVS7FZu9TRDHUXM1oCo7g9R3ciOwr0tCOVX77cLOVdH2QyY0BRreqmUg/nvjayD+Neizug5tLJfU7L+VlDg==" saltValue="sihrBCcguXUe2QmLcfcpZA==" spinCount="100000" sheet="1" objects="1" scenarios="1"/>
  <mergeCells count="31">
    <mergeCell ref="E68:F68"/>
    <mergeCell ref="A22:B22"/>
    <mergeCell ref="A39:B39"/>
    <mergeCell ref="A48:B48"/>
    <mergeCell ref="B95:C95"/>
    <mergeCell ref="D95:F95"/>
    <mergeCell ref="B94:C94"/>
    <mergeCell ref="D94:F94"/>
    <mergeCell ref="A34:A35"/>
    <mergeCell ref="B34:L35"/>
    <mergeCell ref="A86:B86"/>
    <mergeCell ref="B87:D87"/>
    <mergeCell ref="E87:G87"/>
    <mergeCell ref="H87:J87"/>
    <mergeCell ref="K87:M87"/>
    <mergeCell ref="C11:D11"/>
    <mergeCell ref="J11:K11"/>
    <mergeCell ref="I54:J54"/>
    <mergeCell ref="H38:J38"/>
    <mergeCell ref="H67:J67"/>
    <mergeCell ref="J12:K12"/>
    <mergeCell ref="C14:D14"/>
    <mergeCell ref="C15:D15"/>
    <mergeCell ref="C16:D16"/>
    <mergeCell ref="C1:L1"/>
    <mergeCell ref="B2:E2"/>
    <mergeCell ref="K2:L2"/>
    <mergeCell ref="G2:H2"/>
    <mergeCell ref="C9:D9"/>
    <mergeCell ref="C7:D7"/>
    <mergeCell ref="A5:B5"/>
  </mergeCells>
  <phoneticPr fontId="30" type="noConversion"/>
  <conditionalFormatting sqref="C90">
    <cfRule type="containsText" dxfId="8" priority="4" stopIfTrue="1" operator="containsText" text="Non">
      <formula>NOT(ISERROR(SEARCH("Non",C90)))</formula>
    </cfRule>
  </conditionalFormatting>
  <conditionalFormatting sqref="C92 F92 I92 L92">
    <cfRule type="containsText" dxfId="7" priority="3" stopIfTrue="1" operator="containsText" text="Non">
      <formula>NOT(ISERROR(SEARCH("Non",C92)))</formula>
    </cfRule>
  </conditionalFormatting>
  <conditionalFormatting sqref="D67:H67 K67:L67">
    <cfRule type="containsText" dxfId="6" priority="82" operator="containsText" text="(4) The indicated Market Contribution exceeds the Maximal Market Contribution.">
      <formula>NOT(ISERROR(SEARCH("(4) The indicated Market Contribution exceeds the Maximal Market Contribution.",D67)))</formula>
    </cfRule>
  </conditionalFormatting>
  <conditionalFormatting sqref="E14:E15">
    <cfRule type="containsText" dxfId="5" priority="7" operator="containsText" text="Non">
      <formula>NOT(ISERROR(SEARCH("Non",E14)))</formula>
    </cfRule>
  </conditionalFormatting>
  <conditionalFormatting sqref="E70:F72 E74:F78">
    <cfRule type="containsText" dxfId="4" priority="83" operator="containsText" text="Non">
      <formula>NOT(ISERROR(SEARCH("Non",E70)))</formula>
    </cfRule>
  </conditionalFormatting>
  <conditionalFormatting sqref="E80:F84">
    <cfRule type="containsText" dxfId="3" priority="1" operator="containsText" text="Non">
      <formula>NOT(ISERROR(SEARCH("Non",E80)))</formula>
    </cfRule>
  </conditionalFormatting>
  <conditionalFormatting sqref="F90 I90">
    <cfRule type="containsText" dxfId="2" priority="8" stopIfTrue="1" operator="containsText" text="Non">
      <formula>NOT(ISERROR(SEARCH("Non",F90)))</formula>
    </cfRule>
  </conditionalFormatting>
  <conditionalFormatting sqref="H48:K49">
    <cfRule type="expression" dxfId="1" priority="11">
      <formula>$K$48&lt;&gt;""</formula>
    </cfRule>
  </conditionalFormatting>
  <conditionalFormatting sqref="L90">
    <cfRule type="containsText" dxfId="0" priority="5" stopIfTrue="1" operator="containsText" text="Non">
      <formula>NOT(ISERROR(SEARCH("Non",L90)))</formula>
    </cfRule>
  </conditionalFormatting>
  <dataValidations count="10">
    <dataValidation type="whole" allowBlank="1" showInputMessage="1" showErrorMessage="1" error="le montanmt doit être égale ou plus petit que le maximum permis (15% du budget ou 225 000)_x000a__x000a__x000a_" sqref="D33" xr:uid="{5F5B3FB6-C8EA-4FD2-B0AB-220866C24430}">
      <formula1>0</formula1>
      <formula2>C33</formula2>
    </dataValidation>
    <dataValidation type="decimal" allowBlank="1" showErrorMessage="1" errorTitle="Not a number" error="Enter the Envelope Contribution for this licence" sqref="C24:D29 E25:E29" xr:uid="{442C29A2-0C02-48EC-A46B-D24316651ABD}">
      <formula1>0</formula1>
      <formula2>999999999999999</formula2>
    </dataValidation>
    <dataValidation type="whole" allowBlank="1" showInputMessage="1" showErrorMessage="1" promptTitle="Nombre de mois" prompt="Saisir la période en mois. Les équations sont permises (ex. : =7*12)" sqref="J24:J29" xr:uid="{F91FF1EA-4FE7-406F-B1B7-B8AE10FDDFD8}">
      <formula1>1</formula1>
      <formula2>999</formula2>
    </dataValidation>
    <dataValidation type="date" allowBlank="1" showInputMessage="1" showErrorMessage="1" promptTitle="Date" prompt="ex. A-M-J" sqref="H24:H29" xr:uid="{AC64E963-407A-4F67-9226-17E0F065BD50}">
      <formula1>36526</formula1>
      <formula2>401749</formula2>
    </dataValidation>
    <dataValidation type="whole" allowBlank="1" showInputMessage="1" showErrorMessage="1" errorTitle="Not a number" error="Enter the Envelope Contribution for this licence" sqref="E47" xr:uid="{159B71F8-853C-464C-A770-FB1038F2C566}">
      <formula1>0</formula1>
      <formula2>999999999999999</formula2>
    </dataValidation>
    <dataValidation type="decimal" allowBlank="1" showInputMessage="1" showErrorMessage="1" errorTitle="Not a number" error="Enter the Envelope Contribution for this licence" sqref="F25:G25" xr:uid="{03F0A27E-CAE4-4634-96F0-43BFE0B8A784}">
      <formula1>0</formula1>
      <formula2>999999999999999</formula2>
    </dataValidation>
    <dataValidation type="decimal" allowBlank="1" showInputMessage="1" showErrorMessage="1" errorTitle="Not a number" error="Enter the Envelope Contribution for this licence" prompt="SVP entrez les télédiffuseurs en premier, voir note (1) ci-dessus" sqref="E24:G24" xr:uid="{2456CEAB-C3A7-425C-9009-396B03F2BFE5}">
      <formula1>0</formula1>
      <formula2>999999999999999</formula2>
    </dataValidation>
    <dataValidation allowBlank="1" showInputMessage="1" showErrorMessage="1" promptTitle="Entité Int. (CMM)" prompt="Pour E&amp;J : les DDA + la CMM doivent être au moins 75% de l’exigence seuil. Voir aussi la note (3)." sqref="K48" xr:uid="{6E30DC54-643E-4441-A2EF-13345F57A142}"/>
    <dataValidation type="list" allowBlank="1" showInputMessage="1" showErrorMessage="1" sqref="E9:E11 E14" xr:uid="{F9125EBF-759E-4129-878E-F7629C771051}">
      <formula1>$L$77:$L$79</formula1>
    </dataValidation>
    <dataValidation type="custom" showInputMessage="1" showErrorMessage="1" error="SVP ne pas supprimer" sqref="A68 L68" xr:uid="{414FDF6E-A0D3-4012-B43B-7A33A3AEAA5E}">
      <formula1>""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0" fitToHeight="3" orientation="landscape" r:id="rId1"/>
  <headerFooter alignWithMargins="0"/>
  <rowBreaks count="2" manualBreakCount="2">
    <brk id="37" max="10" man="1"/>
    <brk id="6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locked="0" defaultSize="0" autoLine="0" autoPict="0">
                <anchor moveWithCells="1">
                  <from>
                    <xdr:col>0</xdr:col>
                    <xdr:colOff>161925</xdr:colOff>
                    <xdr:row>11</xdr:row>
                    <xdr:rowOff>38100</xdr:rowOff>
                  </from>
                  <to>
                    <xdr:col>3</xdr:col>
                    <xdr:colOff>1066800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locked="0" defaultSize="0" autoLine="0" autoPict="0">
                <anchor moveWithCells="1">
                  <from>
                    <xdr:col>2</xdr:col>
                    <xdr:colOff>19050</xdr:colOff>
                    <xdr:row>3</xdr:row>
                    <xdr:rowOff>266700</xdr:rowOff>
                  </from>
                  <to>
                    <xdr:col>5</xdr:col>
                    <xdr:colOff>771525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  <_dlc_DocId xmlns="dc2e72fa-f2bf-4b7e-897e-98e66666beee">CMFREL-1750552771-3790</_dlc_DocId>
    <_dlc_DocIdUrl xmlns="dc2e72fa-f2bf-4b7e-897e-98e66666beee">
      <Url>https://telefilm.sharepoint.com/sites/TheRebrandGroup/_layouts/15/DocIdRedir.aspx?ID=CMFREL-1750552771-3790</Url>
      <Description>CMFREL-1750552771-3790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09B89D-B9E3-4997-8CB6-61DA15EEA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5C3807-BA35-4B6B-BBAE-734FE68C8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58206-B560-42EC-A4CC-D7E95417425A}">
  <ds:schemaRefs>
    <ds:schemaRef ds:uri="dc2e72fa-f2bf-4b7e-897e-98e66666beee"/>
    <ds:schemaRef ds:uri="http://schemas.microsoft.com/office/2006/documentManagement/types"/>
    <ds:schemaRef ds:uri="995c7fa0-c7ce-4135-b1bb-e7af7b680b45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45257D9-21A7-4579-AE3E-2027C57BC5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ENGLISH</vt:lpstr>
      <vt:lpstr>FRANÇAIS</vt:lpstr>
      <vt:lpstr>ENGLISH!Zone_d_impression</vt:lpstr>
      <vt:lpstr>FRANÇAIS!Zone_d_impression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2012-05-02T16:23:31Z</dcterms:created>
  <dcterms:modified xsi:type="dcterms:W3CDTF">2025-06-09T14:09:39Z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df2ddf3f-447f-4af4-9d8c-509e394e675e</vt:lpwstr>
  </property>
  <property fmtid="{D5CDD505-2E9C-101B-9397-08002B2CF9AE}" pid="4" name="MediaServiceImageTags">
    <vt:lpwstr/>
  </property>
</Properties>
</file>