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1224" documentId="8_{4298D358-3234-4A3A-9D08-DCB29E9DFE31}" xr6:coauthVersionLast="47" xr6:coauthVersionMax="47" xr10:uidLastSave="{4CE6B202-9726-42C0-912A-CAF1A84CF30A}"/>
  <bookViews>
    <workbookView xWindow="28680" yWindow="-120" windowWidth="29040" windowHeight="15840" xr2:uid="{00000000-000D-0000-FFFF-FFFF00000000}"/>
  </bookViews>
  <sheets>
    <sheet name="ENGLISH" sheetId="1" r:id="rId1"/>
    <sheet name="FRANÇAIS" sheetId="6" r:id="rId2"/>
    <sheet name="AUTOCHTONE, DIVERSITÉ-FR" sheetId="2" state="hidden" r:id="rId3"/>
  </sheets>
  <definedNames>
    <definedName name="_xlnm.Print_Area" localSheetId="2">'AUTOCHTONE, DIVERSITÉ-FR'!$A$1:$O$83</definedName>
    <definedName name="_xlnm.Print_Area" localSheetId="0">ENGLISH!$A$1:$O$92</definedName>
    <definedName name="_xlnm.Print_Area" localSheetId="1">FRANÇAIS!$A$1:$O$85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0" i="1" l="1"/>
  <c r="F29" i="1"/>
  <c r="A45" i="6" l="1"/>
  <c r="M81" i="6" l="1"/>
  <c r="M80" i="6"/>
  <c r="C45" i="6" s="1"/>
  <c r="E45" i="6" s="1"/>
  <c r="M79" i="6"/>
  <c r="F30" i="6" l="1"/>
  <c r="H24" i="6"/>
  <c r="H25" i="6"/>
  <c r="H26" i="6"/>
  <c r="H27" i="6"/>
  <c r="H28" i="6"/>
  <c r="H29" i="6"/>
  <c r="K15" i="6"/>
  <c r="L15" i="6" s="1"/>
  <c r="K14" i="1"/>
  <c r="L14" i="1" s="1"/>
  <c r="N80" i="6" l="1"/>
  <c r="O80" i="6" s="1"/>
  <c r="N81" i="6"/>
  <c r="O81" i="6" s="1"/>
  <c r="D66" i="6"/>
  <c r="M79" i="1"/>
  <c r="D65" i="1" l="1"/>
  <c r="E65" i="1" s="1"/>
  <c r="F65" i="1" s="1"/>
  <c r="M80" i="1" l="1"/>
  <c r="C44" i="1" s="1"/>
  <c r="M78" i="1"/>
  <c r="A44" i="1" l="1"/>
  <c r="E44" i="1" l="1"/>
  <c r="C89" i="1"/>
  <c r="F44" i="1" l="1"/>
  <c r="C22" i="1"/>
  <c r="C29" i="1" s="1"/>
  <c r="G81" i="6"/>
  <c r="G80" i="6"/>
  <c r="N80" i="1"/>
  <c r="O80" i="1" s="1"/>
  <c r="N79" i="1"/>
  <c r="O79" i="1" s="1"/>
  <c r="H81" i="6" l="1"/>
  <c r="I81" i="6" s="1"/>
  <c r="E37" i="6"/>
  <c r="E16" i="1"/>
  <c r="H80" i="6"/>
  <c r="I80" i="6" s="1"/>
  <c r="C23" i="6" l="1"/>
  <c r="C30" i="6" s="1"/>
  <c r="E16" i="6" s="1"/>
  <c r="H24" i="1" l="1"/>
  <c r="A14" i="1" l="1"/>
  <c r="F10" i="6" l="1"/>
  <c r="B83" i="6"/>
  <c r="B84" i="6"/>
  <c r="B81" i="6"/>
  <c r="B80" i="6"/>
  <c r="H60" i="6"/>
  <c r="G43" i="6" s="1"/>
  <c r="D60" i="6"/>
  <c r="B60" i="6"/>
  <c r="D58" i="6"/>
  <c r="B58" i="6"/>
  <c r="D56" i="6"/>
  <c r="B56" i="6"/>
  <c r="D54" i="6"/>
  <c r="B54" i="6"/>
  <c r="D52" i="6"/>
  <c r="B52" i="6"/>
  <c r="K50" i="6"/>
  <c r="B50" i="6"/>
  <c r="X43" i="6"/>
  <c r="W43" i="6"/>
  <c r="B43" i="6"/>
  <c r="X42" i="6"/>
  <c r="W42" i="6"/>
  <c r="B42" i="6"/>
  <c r="X41" i="6"/>
  <c r="B41" i="6"/>
  <c r="X40" i="6"/>
  <c r="B40" i="6"/>
  <c r="X39" i="6"/>
  <c r="B39" i="6"/>
  <c r="X38" i="6"/>
  <c r="B38" i="6"/>
  <c r="E30" i="6"/>
  <c r="D30" i="6"/>
  <c r="W38" i="6"/>
  <c r="K7" i="6"/>
  <c r="D67" i="6" s="1"/>
  <c r="F45" i="6" l="1"/>
  <c r="K10" i="6"/>
  <c r="K13" i="6" s="1"/>
  <c r="L13" i="6" s="1"/>
  <c r="Y40" i="6"/>
  <c r="F54" i="6" s="1"/>
  <c r="H54" i="6" s="1"/>
  <c r="G40" i="6" s="1"/>
  <c r="Y41" i="6"/>
  <c r="F56" i="6" s="1"/>
  <c r="W41" i="6" s="1"/>
  <c r="Y39" i="6"/>
  <c r="F52" i="6" s="1"/>
  <c r="W39" i="6" s="1"/>
  <c r="W40" i="6"/>
  <c r="Y42" i="6"/>
  <c r="F58" i="6" s="1"/>
  <c r="H58" i="6" s="1"/>
  <c r="G42" i="6" s="1"/>
  <c r="D50" i="6"/>
  <c r="H50" i="6" s="1"/>
  <c r="G38" i="6" s="1"/>
  <c r="Y43" i="6"/>
  <c r="F60" i="6" s="1"/>
  <c r="J38" i="6" l="1"/>
  <c r="L38" i="6"/>
  <c r="J80" i="6"/>
  <c r="D80" i="6" s="1"/>
  <c r="J81" i="6"/>
  <c r="D81" i="6" s="1"/>
  <c r="H56" i="6"/>
  <c r="G41" i="6" s="1"/>
  <c r="H52" i="6"/>
  <c r="G39" i="6" s="1"/>
  <c r="K80" i="6" l="1"/>
  <c r="L80" i="6" s="1"/>
  <c r="K81" i="6"/>
  <c r="L81" i="6" s="1"/>
  <c r="G44" i="6"/>
  <c r="E67" i="6" s="1"/>
  <c r="G67" i="6" s="1"/>
  <c r="E66" i="6" l="1"/>
  <c r="G66" i="6" s="1"/>
  <c r="H44" i="6" s="1"/>
  <c r="E44" i="6"/>
  <c r="E80" i="6"/>
  <c r="F80" i="6" s="1"/>
  <c r="E81" i="6"/>
  <c r="F81" i="6" s="1"/>
  <c r="H67" i="6" l="1"/>
  <c r="H66" i="6"/>
  <c r="C44" i="6"/>
  <c r="C46" i="6" s="1"/>
  <c r="C37" i="6"/>
  <c r="D37" i="6" s="1"/>
  <c r="F37" i="6" s="1"/>
  <c r="E46" i="6"/>
  <c r="E38" i="6"/>
  <c r="E43" i="6"/>
  <c r="E42" i="6"/>
  <c r="E41" i="6"/>
  <c r="E39" i="6"/>
  <c r="E40" i="6"/>
  <c r="I44" i="6" l="1"/>
  <c r="F67" i="6" s="1"/>
  <c r="I42" i="6"/>
  <c r="I43" i="6"/>
  <c r="I40" i="6"/>
  <c r="I41" i="6"/>
  <c r="I39" i="6"/>
  <c r="D44" i="6"/>
  <c r="D46" i="6" s="1"/>
  <c r="C39" i="6"/>
  <c r="D39" i="6" s="1"/>
  <c r="F39" i="6" s="1"/>
  <c r="C40" i="6"/>
  <c r="D40" i="6" s="1"/>
  <c r="F40" i="6" s="1"/>
  <c r="C41" i="6"/>
  <c r="D41" i="6" s="1"/>
  <c r="F41" i="6" s="1"/>
  <c r="C43" i="6"/>
  <c r="D43" i="6" s="1"/>
  <c r="F43" i="6" s="1"/>
  <c r="C42" i="6"/>
  <c r="D42" i="6" s="1"/>
  <c r="F42" i="6" s="1"/>
  <c r="C38" i="6"/>
  <c r="F66" i="6" l="1"/>
  <c r="K44" i="6"/>
  <c r="D38" i="6"/>
  <c r="F38" i="6" s="1"/>
  <c r="H42" i="6"/>
  <c r="J42" i="6" s="1"/>
  <c r="H43" i="6"/>
  <c r="J43" i="6" s="1"/>
  <c r="H40" i="6"/>
  <c r="J40" i="6" s="1"/>
  <c r="H41" i="6"/>
  <c r="J41" i="6" s="1"/>
  <c r="H39" i="6"/>
  <c r="J39" i="6" s="1"/>
  <c r="F10" i="1"/>
  <c r="J79" i="1" s="1"/>
  <c r="E29" i="1"/>
  <c r="L39" i="6" l="1"/>
  <c r="F44" i="6"/>
  <c r="F46" i="6" s="1"/>
  <c r="L41" i="6"/>
  <c r="L40" i="6"/>
  <c r="L43" i="6"/>
  <c r="L42" i="6"/>
  <c r="D66" i="1"/>
  <c r="L44" i="6" l="1"/>
  <c r="H66" i="1"/>
  <c r="E66" i="1"/>
  <c r="F66" i="1" s="1"/>
  <c r="J44" i="6"/>
  <c r="E67" i="2"/>
  <c r="E65" i="2"/>
  <c r="E64" i="2"/>
  <c r="D67" i="2"/>
  <c r="D65" i="2"/>
  <c r="D64" i="2"/>
  <c r="J74" i="2"/>
  <c r="J77" i="2" l="1"/>
  <c r="D77" i="2" s="1"/>
  <c r="G77" i="2"/>
  <c r="H77" i="2" s="1"/>
  <c r="M75" i="2"/>
  <c r="G75" i="2"/>
  <c r="M74" i="2"/>
  <c r="G74" i="2"/>
  <c r="A64" i="2"/>
  <c r="B80" i="2"/>
  <c r="B81" i="2"/>
  <c r="B82" i="2"/>
  <c r="B79" i="2"/>
  <c r="E43" i="2" l="1"/>
  <c r="D74" i="2"/>
  <c r="H74" i="2"/>
  <c r="I74" i="2" s="1"/>
  <c r="J75" i="2"/>
  <c r="K77" i="2"/>
  <c r="L77" i="2" s="1"/>
  <c r="H75" i="2"/>
  <c r="I75" i="2" s="1"/>
  <c r="I77" i="2"/>
  <c r="N75" i="2"/>
  <c r="O75" i="2" s="1"/>
  <c r="N74" i="2"/>
  <c r="O74" i="2" s="1"/>
  <c r="F64" i="2"/>
  <c r="C43" i="2"/>
  <c r="D75" i="2" l="1"/>
  <c r="E75" i="2" s="1"/>
  <c r="B77" i="2"/>
  <c r="B76" i="2"/>
  <c r="B75" i="2"/>
  <c r="B74" i="2"/>
  <c r="B73" i="2"/>
  <c r="H58" i="2"/>
  <c r="G41" i="2" s="1"/>
  <c r="H41" i="2" s="1"/>
  <c r="D58" i="2"/>
  <c r="B58" i="2"/>
  <c r="H56" i="2"/>
  <c r="D56" i="2"/>
  <c r="B56" i="2"/>
  <c r="H54" i="2"/>
  <c r="G39" i="2" s="1"/>
  <c r="H39" i="2" s="1"/>
  <c r="D54" i="2"/>
  <c r="B54" i="2"/>
  <c r="H52" i="2"/>
  <c r="G38" i="2" s="1"/>
  <c r="H38" i="2" s="1"/>
  <c r="D52" i="2"/>
  <c r="B52" i="2"/>
  <c r="H50" i="2"/>
  <c r="G37" i="2" s="1"/>
  <c r="H37" i="2" s="1"/>
  <c r="D50" i="2"/>
  <c r="B50" i="2"/>
  <c r="K48" i="2"/>
  <c r="D48" i="2"/>
  <c r="B48" i="2"/>
  <c r="H48" i="2" s="1"/>
  <c r="G36" i="2" s="1"/>
  <c r="J41" i="2"/>
  <c r="I41" i="2"/>
  <c r="B41" i="2"/>
  <c r="J40" i="2"/>
  <c r="I40" i="2"/>
  <c r="G40" i="2"/>
  <c r="H40" i="2" s="1"/>
  <c r="B40" i="2"/>
  <c r="J39" i="2"/>
  <c r="I39" i="2"/>
  <c r="B39" i="2"/>
  <c r="J38" i="2"/>
  <c r="I38" i="2"/>
  <c r="B38" i="2"/>
  <c r="J37" i="2"/>
  <c r="I37" i="2"/>
  <c r="B37" i="2"/>
  <c r="J36" i="2"/>
  <c r="I36" i="2"/>
  <c r="B36" i="2"/>
  <c r="D28" i="2"/>
  <c r="C28" i="2"/>
  <c r="E77" i="2" s="1"/>
  <c r="F27" i="2"/>
  <c r="F26" i="2"/>
  <c r="F25" i="2"/>
  <c r="F24" i="2"/>
  <c r="F23" i="2"/>
  <c r="F22" i="2"/>
  <c r="F10" i="2"/>
  <c r="K7" i="2"/>
  <c r="K11" i="2" s="1"/>
  <c r="E74" i="2" l="1"/>
  <c r="F74" i="2" s="1"/>
  <c r="F75" i="2"/>
  <c r="K41" i="2"/>
  <c r="F58" i="2" s="1"/>
  <c r="K40" i="2"/>
  <c r="F56" i="2" s="1"/>
  <c r="K37" i="2"/>
  <c r="F50" i="2" s="1"/>
  <c r="K38" i="2"/>
  <c r="F52" i="2" s="1"/>
  <c r="E16" i="2"/>
  <c r="F77" i="2"/>
  <c r="E35" i="2"/>
  <c r="F43" i="2"/>
  <c r="G42" i="2"/>
  <c r="H36" i="2"/>
  <c r="H42" i="2" s="1"/>
  <c r="K39" i="2"/>
  <c r="F54" i="2" s="1"/>
  <c r="K74" i="2" l="1"/>
  <c r="L74" i="2" s="1"/>
  <c r="K75" i="2"/>
  <c r="L75" i="2" s="1"/>
  <c r="F67" i="2"/>
  <c r="F65" i="2"/>
  <c r="E42" i="2"/>
  <c r="E37" i="2" l="1"/>
  <c r="C42" i="2"/>
  <c r="C35" i="2"/>
  <c r="D35" i="2" s="1"/>
  <c r="F35" i="2" s="1"/>
  <c r="E40" i="2"/>
  <c r="E38" i="2"/>
  <c r="E39" i="2"/>
  <c r="E41" i="2"/>
  <c r="E36" i="2"/>
  <c r="D42" i="2" l="1"/>
  <c r="C39" i="2"/>
  <c r="D39" i="2" s="1"/>
  <c r="C38" i="2"/>
  <c r="D38" i="2" s="1"/>
  <c r="F38" i="2" s="1"/>
  <c r="C40" i="2"/>
  <c r="D40" i="2" s="1"/>
  <c r="F40" i="2" s="1"/>
  <c r="C41" i="2"/>
  <c r="D41" i="2" s="1"/>
  <c r="F41" i="2" s="1"/>
  <c r="C37" i="2"/>
  <c r="D37" i="2" s="1"/>
  <c r="F37" i="2" s="1"/>
  <c r="C36" i="2"/>
  <c r="D36" i="2" s="1"/>
  <c r="V37" i="1"/>
  <c r="F36" i="2" l="1"/>
  <c r="F39" i="2"/>
  <c r="G80" i="1"/>
  <c r="G79" i="1"/>
  <c r="D79" i="1" s="1"/>
  <c r="E36" i="1" l="1"/>
  <c r="H80" i="1"/>
  <c r="I80" i="1" s="1"/>
  <c r="F42" i="2"/>
  <c r="J80" i="1" l="1"/>
  <c r="K80" i="1" l="1"/>
  <c r="L80" i="1" s="1"/>
  <c r="E80" i="1" l="1"/>
  <c r="E43" i="1"/>
  <c r="W38" i="1"/>
  <c r="W39" i="1"/>
  <c r="W40" i="1"/>
  <c r="W41" i="1"/>
  <c r="W42" i="1"/>
  <c r="W37" i="1"/>
  <c r="C36" i="1" l="1"/>
  <c r="C43" i="1"/>
  <c r="B89" i="1"/>
  <c r="B90" i="1"/>
  <c r="B88" i="1"/>
  <c r="E45" i="1" l="1"/>
  <c r="F45" i="1" s="1"/>
  <c r="K79" i="1"/>
  <c r="H79" i="1"/>
  <c r="D59" i="1"/>
  <c r="D57" i="1"/>
  <c r="D55" i="1"/>
  <c r="D53" i="1"/>
  <c r="D51" i="1"/>
  <c r="D49" i="1"/>
  <c r="B49" i="1"/>
  <c r="B51" i="1"/>
  <c r="K7" i="1"/>
  <c r="H23" i="1"/>
  <c r="B53" i="1"/>
  <c r="B55" i="1"/>
  <c r="B57" i="1"/>
  <c r="H28" i="1"/>
  <c r="H27" i="1"/>
  <c r="H26" i="1"/>
  <c r="H25" i="1"/>
  <c r="K49" i="1"/>
  <c r="X38" i="1"/>
  <c r="B59" i="1"/>
  <c r="B80" i="1"/>
  <c r="B79" i="1"/>
  <c r="X42" i="1"/>
  <c r="X41" i="1"/>
  <c r="X40" i="1"/>
  <c r="X39" i="1"/>
  <c r="D29" i="1"/>
  <c r="B42" i="1"/>
  <c r="B41" i="1"/>
  <c r="B40" i="1"/>
  <c r="B39" i="1"/>
  <c r="B38" i="1"/>
  <c r="B37" i="1"/>
  <c r="E79" i="1" l="1"/>
  <c r="E38" i="1"/>
  <c r="E39" i="1"/>
  <c r="E40" i="1"/>
  <c r="E37" i="1"/>
  <c r="E41" i="1"/>
  <c r="E42" i="1"/>
  <c r="F80" i="1"/>
  <c r="I79" i="1"/>
  <c r="L79" i="1"/>
  <c r="K10" i="1"/>
  <c r="K13" i="1" s="1"/>
  <c r="L13" i="1" s="1"/>
  <c r="H49" i="1"/>
  <c r="G37" i="1" s="1"/>
  <c r="F53" i="1"/>
  <c r="F57" i="1"/>
  <c r="V41" i="1" s="1"/>
  <c r="F51" i="1"/>
  <c r="F55" i="1"/>
  <c r="F59" i="1"/>
  <c r="V42" i="1" s="1"/>
  <c r="J37" i="1" l="1"/>
  <c r="L37" i="1"/>
  <c r="F79" i="1"/>
  <c r="H59" i="1"/>
  <c r="G42" i="1" s="1"/>
  <c r="H57" i="1"/>
  <c r="G41" i="1" s="1"/>
  <c r="C45" i="1"/>
  <c r="H55" i="1"/>
  <c r="G40" i="1" s="1"/>
  <c r="V40" i="1"/>
  <c r="H53" i="1"/>
  <c r="G39" i="1" s="1"/>
  <c r="V39" i="1"/>
  <c r="H51" i="1"/>
  <c r="G38" i="1" s="1"/>
  <c r="V38" i="1"/>
  <c r="C37" i="1" l="1"/>
  <c r="D37" i="1" s="1"/>
  <c r="F37" i="1" s="1"/>
  <c r="C42" i="1"/>
  <c r="D42" i="1" s="1"/>
  <c r="F42" i="1" s="1"/>
  <c r="C38" i="1"/>
  <c r="D38" i="1" s="1"/>
  <c r="F38" i="1" s="1"/>
  <c r="C39" i="1"/>
  <c r="D39" i="1" s="1"/>
  <c r="F39" i="1" s="1"/>
  <c r="C40" i="1"/>
  <c r="D40" i="1" s="1"/>
  <c r="F40" i="1" s="1"/>
  <c r="C41" i="1"/>
  <c r="D41" i="1" s="1"/>
  <c r="F41" i="1" s="1"/>
  <c r="D36" i="1"/>
  <c r="F36" i="1" s="1"/>
  <c r="D43" i="1"/>
  <c r="D45" i="1" s="1"/>
  <c r="G43" i="1"/>
  <c r="G65" i="1" l="1"/>
  <c r="G66" i="1"/>
  <c r="F43" i="1"/>
  <c r="H43" i="1" l="1"/>
  <c r="H38" i="1" s="1"/>
  <c r="H65" i="1"/>
  <c r="H42" i="1"/>
  <c r="H41" i="1" l="1"/>
  <c r="H39" i="1"/>
  <c r="H40" i="1"/>
  <c r="I43" i="1"/>
  <c r="K43" i="1" s="1"/>
  <c r="I39" i="1" l="1"/>
  <c r="J39" i="1" s="1"/>
  <c r="I38" i="1"/>
  <c r="J38" i="1" s="1"/>
  <c r="I42" i="1"/>
  <c r="J42" i="1" s="1"/>
  <c r="I40" i="1"/>
  <c r="J40" i="1" s="1"/>
  <c r="I41" i="1"/>
  <c r="J41" i="1" s="1"/>
  <c r="J43" i="1" l="1"/>
  <c r="L41" i="1"/>
  <c r="L40" i="1"/>
  <c r="L42" i="1"/>
  <c r="L38" i="1"/>
  <c r="L39" i="1"/>
  <c r="L4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E7" authorId="0" shapeId="0" xr:uid="{5C895982-A196-417B-957C-B9FE75F2E853}">
      <text>
        <r>
          <rPr>
            <b/>
            <sz val="9"/>
            <color indexed="81"/>
            <rFont val="Tahoma"/>
            <family val="2"/>
          </rPr>
          <t xml:space="preserve">Must be Canadian eligible costs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" authorId="0" shapeId="0" xr:uid="{791628F8-FC6E-4DD7-9DCD-76FFE552AF12}">
      <text>
        <r>
          <rPr>
            <b/>
            <sz val="9"/>
            <color indexed="81"/>
            <rFont val="Tahoma"/>
            <family val="2"/>
          </rPr>
          <t xml:space="preserve">Knowledge Network, Télé-Québec, TFO and TVO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3" authorId="0" shapeId="0" xr:uid="{D9373DBC-8D34-4BE2-9860-24AB56CE88AD}">
      <text>
        <r>
          <rPr>
            <b/>
            <sz val="9"/>
            <color indexed="81"/>
            <rFont val="Tahoma"/>
            <family val="2"/>
          </rPr>
          <t>If Yes, enter the Incentive amount here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E7" authorId="0" shapeId="0" xr:uid="{9FB638B9-B024-4CF8-AD32-B96990744EAE}">
      <text>
        <r>
          <rPr>
            <b/>
            <sz val="9"/>
            <color indexed="81"/>
            <rFont val="Tahoma"/>
            <family val="2"/>
          </rPr>
          <t>Doit correspondre aux dépenses admissibles canadiennes</t>
        </r>
      </text>
    </comment>
    <comment ref="E10" authorId="0" shapeId="0" xr:uid="{18A65F05-8763-4DB0-BA19-ACE7839F0C9D}">
      <text>
        <r>
          <rPr>
            <b/>
            <sz val="9"/>
            <color indexed="81"/>
            <rFont val="Tahoma"/>
            <family val="2"/>
          </rPr>
          <t xml:space="preserve">Knowledge Network, Télé-Québec, TFO et TVO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3" authorId="0" shapeId="0" xr:uid="{D63D169E-BEEF-427F-B36E-299F93E42F6D}">
      <text>
        <r>
          <rPr>
            <b/>
            <sz val="9"/>
            <color indexed="81"/>
            <rFont val="Tahoma"/>
            <family val="2"/>
          </rPr>
          <t>Si oui, veuillez entrer le montant de la mesure incitative dans cette cellule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E7" authorId="0" shapeId="0" xr:uid="{E82EAF2A-C971-472D-82E2-EACE22A9B0DF}">
      <text>
        <r>
          <rPr>
            <b/>
            <sz val="9"/>
            <color indexed="81"/>
            <rFont val="Tahoma"/>
            <family val="2"/>
          </rPr>
          <t xml:space="preserve">Doit être les dépenses admissibles canadiennes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" authorId="0" shapeId="0" xr:uid="{E90913EA-2745-43A8-AA51-B5E5DB125A03}">
      <text>
        <r>
          <rPr>
            <b/>
            <sz val="9"/>
            <color indexed="81"/>
            <rFont val="Tahoma"/>
            <family val="2"/>
          </rPr>
          <t xml:space="preserve">Knowledge Network, Télé-Québec, TFO et TVO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0" authorId="0" shapeId="0" xr:uid="{330DA3CD-E587-4B77-8A60-E339A03B963F}">
      <text>
        <r>
          <rPr>
            <b/>
            <sz val="9"/>
            <color indexed="81"/>
            <rFont val="Tahoma"/>
            <family val="2"/>
          </rPr>
          <t>Maximum PE Contribution %
60% for all in 2020-2021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3" authorId="0" shapeId="0" xr:uid="{B07FA15B-03F7-44ED-BD3D-F7405FE3255C}">
      <text>
        <r>
          <rPr>
            <b/>
            <sz val="9"/>
            <color indexed="81"/>
            <rFont val="Tahoma"/>
            <family val="2"/>
          </rPr>
          <t>If Yes, enter the Incentive amount here</t>
        </r>
      </text>
    </comment>
  </commentList>
</comments>
</file>

<file path=xl/sharedStrings.xml><?xml version="1.0" encoding="utf-8"?>
<sst xmlns="http://schemas.openxmlformats.org/spreadsheetml/2006/main" count="477" uniqueCount="246">
  <si>
    <t>Project
Name:</t>
  </si>
  <si>
    <t>Project No:</t>
  </si>
  <si>
    <t>Date :</t>
  </si>
  <si>
    <t>Please complete all green cells</t>
  </si>
  <si>
    <t>Budget Category (Genre)</t>
  </si>
  <si>
    <t>Budget/Final Cost</t>
  </si>
  <si>
    <t>Number                   of Episodes</t>
  </si>
  <si>
    <t>Episode Length (in Min.)</t>
  </si>
  <si>
    <t>Total Hours</t>
  </si>
  <si>
    <t>Are all Broadcasters Educational?</t>
  </si>
  <si>
    <t>Yes</t>
  </si>
  <si>
    <t xml:space="preserve">Budget/Hour </t>
  </si>
  <si>
    <r>
      <t>Is there an Incentive Program</t>
    </r>
    <r>
      <rPr>
        <b/>
        <sz val="10"/>
        <rFont val="Calibri"/>
        <family val="2"/>
        <scheme val="minor"/>
      </rPr>
      <t>?</t>
    </r>
  </si>
  <si>
    <t>End of Term Date</t>
  </si>
  <si>
    <t>Term Length
(In Months)</t>
  </si>
  <si>
    <t>Language</t>
  </si>
  <si>
    <t># 1</t>
  </si>
  <si>
    <t># 2</t>
  </si>
  <si>
    <t># 3</t>
  </si>
  <si>
    <t># 4</t>
  </si>
  <si>
    <t># 5</t>
  </si>
  <si>
    <t># 6</t>
  </si>
  <si>
    <t>Total:</t>
  </si>
  <si>
    <t>Notes:</t>
  </si>
  <si>
    <t>Maximum Licence Fee  Top-Up</t>
  </si>
  <si>
    <t xml:space="preserve">Eligible CMF Contribution </t>
  </si>
  <si>
    <t>% CMF Contribution of Budget</t>
  </si>
  <si>
    <t>Total Eligible Triggering Commitment</t>
  </si>
  <si>
    <t>Adjusted Term Length</t>
  </si>
  <si>
    <t>Adjusted Exclusivity</t>
  </si>
  <si>
    <t>Revised Start Date of Term</t>
  </si>
  <si>
    <t>Selective $</t>
  </si>
  <si>
    <t>N/A</t>
  </si>
  <si>
    <t>Licence Term Calculation:</t>
  </si>
  <si>
    <t>÷</t>
  </si>
  <si>
    <t>x</t>
  </si>
  <si>
    <t>=</t>
  </si>
  <si>
    <t>Last Day of Maximum Term:</t>
  </si>
  <si>
    <t>Total Licence</t>
  </si>
  <si>
    <t>Term Months</t>
  </si>
  <si>
    <t>Maximum Term</t>
  </si>
  <si>
    <t>Pro-Rated Amount</t>
  </si>
  <si>
    <t>Budget Category</t>
  </si>
  <si>
    <t>Formula</t>
  </si>
  <si>
    <t>Calculated          Amount</t>
  </si>
  <si>
    <t>Threshold Respected?</t>
  </si>
  <si>
    <t>Over                                   OR                     (Shortfall)</t>
  </si>
  <si>
    <t xml:space="preserve">     * POINT OF VIEW (POV)*</t>
  </si>
  <si>
    <t>English Regional Production Bonus</t>
  </si>
  <si>
    <t>Others POV Projects</t>
  </si>
  <si>
    <t>Anglophone Minority Incentive</t>
  </si>
  <si>
    <t>Diverses Languages</t>
  </si>
  <si>
    <t>Northen Production Incentive</t>
  </si>
  <si>
    <t>No</t>
  </si>
  <si>
    <t>Maximum CMF Contribution:</t>
  </si>
  <si>
    <t>CMF Contribution</t>
  </si>
  <si>
    <r>
      <t>Incentive Programs</t>
    </r>
    <r>
      <rPr>
        <b/>
        <sz val="10"/>
        <color rgb="FFFF0000"/>
        <rFont val="Calibri"/>
        <family val="2"/>
        <scheme val="minor"/>
      </rPr>
      <t>***</t>
    </r>
  </si>
  <si>
    <t>CMF                      Maximum</t>
  </si>
  <si>
    <t>Max. Contribution Respected?</t>
  </si>
  <si>
    <t>Over</t>
  </si>
  <si>
    <t xml:space="preserve">Selective                                     Maximum </t>
  </si>
  <si>
    <t xml:space="preserve">Incentive             Maximum </t>
  </si>
  <si>
    <t xml:space="preserve"> 49% of Eligible Costs (Max $400,000) Combined Programs 84% </t>
  </si>
  <si>
    <t xml:space="preserve">49% Eligible Costs (Max $400,000) Combined Programs 84% </t>
  </si>
  <si>
    <t>***</t>
  </si>
  <si>
    <t xml:space="preserve">15% of  Eligible Costs (Max $1,000,000) </t>
  </si>
  <si>
    <t xml:space="preserve">30% of  Eligible Costs (Max $200,000) </t>
  </si>
  <si>
    <t>Titre du projet :</t>
  </si>
  <si>
    <t>No du projet :</t>
  </si>
  <si>
    <t>Complétez toutes les cellules vertes</t>
  </si>
  <si>
    <t>Catégorie de devis :</t>
  </si>
  <si>
    <t xml:space="preserve">Devis /Coût final de production </t>
  </si>
  <si>
    <t>Nombre d'épisodes</t>
  </si>
  <si>
    <t>Durée des épisodes  (en min.)</t>
  </si>
  <si>
    <t>Nombre total d'heures</t>
  </si>
  <si>
    <t>Oui</t>
  </si>
  <si>
    <t>Devis/Heure</t>
  </si>
  <si>
    <r>
      <t xml:space="preserve">Y a-t-il une mesure incitative </t>
    </r>
    <r>
      <rPr>
        <b/>
        <sz val="10"/>
        <rFont val="Calibri"/>
        <family val="2"/>
        <scheme val="minor"/>
      </rPr>
      <t>?</t>
    </r>
  </si>
  <si>
    <t>Calculateur de carbone requis ?</t>
  </si>
  <si>
    <t>Le projet reçoit-il une allocation des enveloppes des télédiffuseurs ?</t>
  </si>
  <si>
    <t>Contribution du Programme des Enveloppes des télédiffuseurs</t>
  </si>
  <si>
    <t>(1) : Entrez les licences par ordre croissant de début des droits</t>
  </si>
  <si>
    <t>Droits de diffusion admissibles</t>
  </si>
  <si>
    <t>Date de fin de la période</t>
  </si>
  <si>
    <t>Langue</t>
  </si>
  <si>
    <t>n° 1</t>
  </si>
  <si>
    <t>n° 2</t>
  </si>
  <si>
    <t>n° 3</t>
  </si>
  <si>
    <t>n° 4</t>
  </si>
  <si>
    <t>n° 5</t>
  </si>
  <si>
    <t>n° 6</t>
  </si>
  <si>
    <t>Totaux :</t>
  </si>
  <si>
    <t>Remarques :</t>
  </si>
  <si>
    <t>Montant admissible du supplément de droits de diffusion</t>
  </si>
  <si>
    <t>Contribution totale admissible du FMC</t>
  </si>
  <si>
    <t xml:space="preserve"> % Contribution du FMC sur le devis</t>
  </si>
  <si>
    <t xml:space="preserve">% Droits de diffusion sur le devis </t>
  </si>
  <si>
    <t>Total pour les déclencheurs admissibles</t>
  </si>
  <si>
    <t>Selectif $</t>
  </si>
  <si>
    <t>Calcul de la durée des droits de diffusion :</t>
  </si>
  <si>
    <t>Dernier jour de la durée maximale</t>
  </si>
  <si>
    <t>Montant total des droits de diffusion</t>
  </si>
  <si>
    <t>Durée 
(en mois)</t>
  </si>
  <si>
    <t>Durée maximale</t>
  </si>
  <si>
    <t>Montant proportionnel</t>
  </si>
  <si>
    <t>Catégorie de devis</t>
  </si>
  <si>
    <t>Formule</t>
  </si>
  <si>
    <t>Calcul du montant</t>
  </si>
  <si>
    <t xml:space="preserve">Exigence seuil respectée ? </t>
  </si>
  <si>
    <t xml:space="preserve">     * DOCUMENTAIRE D'AUTEUR*</t>
  </si>
  <si>
    <t>Autres documentaires d'auteur</t>
  </si>
  <si>
    <t xml:space="preserve">     * AUTOCHTONE *</t>
  </si>
  <si>
    <t>Mesure incitative pour les projets nordiques</t>
  </si>
  <si>
    <t>Mesure incitative pour la production régionale de langue française au Québec</t>
  </si>
  <si>
    <t>Autres projets autochtones</t>
  </si>
  <si>
    <t xml:space="preserve">     * LANGUES DIVERSES *</t>
  </si>
  <si>
    <t>Projets de langues diverses</t>
  </si>
  <si>
    <t>Non</t>
  </si>
  <si>
    <t>Contributions maximales :</t>
  </si>
  <si>
    <t>Enveloppes des télédiffuseurs</t>
  </si>
  <si>
    <r>
      <t xml:space="preserve">Mesures incitatives </t>
    </r>
    <r>
      <rPr>
        <b/>
        <sz val="10"/>
        <color rgb="FFFF0000"/>
        <rFont val="Calibri"/>
        <family val="2"/>
        <scheme val="minor"/>
      </rPr>
      <t>***</t>
    </r>
  </si>
  <si>
    <t>Contribution maximale respectée ?</t>
  </si>
  <si>
    <t>Montant excédentaire</t>
  </si>
  <si>
    <t>Maximum du programme</t>
  </si>
  <si>
    <t xml:space="preserve">Maximum </t>
  </si>
  <si>
    <r>
      <rPr>
        <b/>
        <sz val="12"/>
        <rFont val="Calibri"/>
        <family val="2"/>
        <scheme val="minor"/>
      </rPr>
      <t xml:space="preserve">2022-2023 - Feuille de calcul des exigences seuil en matière de droits de diffusion, de la contribution et durée maximale  </t>
    </r>
    <r>
      <rPr>
        <b/>
        <sz val="11"/>
        <rFont val="Calibri"/>
        <family val="2"/>
        <scheme val="minor"/>
      </rPr>
      <t xml:space="preserve">
</t>
    </r>
    <r>
      <rPr>
        <b/>
        <sz val="14"/>
        <rFont val="Calibri"/>
        <family val="2"/>
        <scheme val="minor"/>
      </rPr>
      <t xml:space="preserve">Programme de langues diverses  </t>
    </r>
    <r>
      <rPr>
        <b/>
        <sz val="14"/>
        <rFont val="Calibri"/>
        <family val="2"/>
      </rPr>
      <t>•</t>
    </r>
    <r>
      <rPr>
        <b/>
        <sz val="14"/>
        <rFont val="Calibri"/>
        <family val="2"/>
        <scheme val="minor"/>
      </rPr>
      <t xml:space="preserve">  Programme autochtone</t>
    </r>
  </si>
  <si>
    <t>No du projet:</t>
  </si>
  <si>
    <t>Devis/Coût final de production</t>
  </si>
  <si>
    <t>Durée des épisodes (en min.)</t>
  </si>
  <si>
    <t>Cette demande est-elle combinée avec l'ERT ?</t>
  </si>
  <si>
    <t>Contribution de l'ERT</t>
  </si>
  <si>
    <t>Contribution - Autochtone ou Langues Diverses</t>
  </si>
  <si>
    <t xml:space="preserve">(2) : Outre le montant de l'ERT, entrez le montant total du Programme autochtone ou de langues diverses surr la ligne 22C </t>
  </si>
  <si>
    <r>
      <t xml:space="preserve">Nom du télédiffuseur </t>
    </r>
    <r>
      <rPr>
        <b/>
        <sz val="10"/>
        <color rgb="FFFF0000"/>
        <rFont val="Calibri"/>
        <family val="2"/>
        <scheme val="minor"/>
      </rPr>
      <t>(1)</t>
    </r>
  </si>
  <si>
    <r>
      <t xml:space="preserve">Contribution </t>
    </r>
    <r>
      <rPr>
        <b/>
        <sz val="10"/>
        <color rgb="FFFF0000"/>
        <rFont val="Calibri"/>
        <family val="2"/>
        <scheme val="minor"/>
      </rPr>
      <t>(2)</t>
    </r>
    <r>
      <rPr>
        <b/>
        <sz val="10"/>
        <rFont val="Calibri"/>
        <family val="2"/>
        <scheme val="minor"/>
      </rPr>
      <t xml:space="preserve"> du FMC </t>
    </r>
  </si>
  <si>
    <r>
      <t xml:space="preserve">Date de début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 la période </t>
    </r>
    <r>
      <rPr>
        <b/>
        <sz val="10"/>
        <color rgb="FFFF0000"/>
        <rFont val="Calibri"/>
        <family val="2"/>
        <scheme val="minor"/>
      </rPr>
      <t>(1)</t>
    </r>
  </si>
  <si>
    <t>Date de fin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 la période</t>
  </si>
  <si>
    <t>Durée de la période            (en mois)</t>
  </si>
  <si>
    <t>Exclusivité</t>
  </si>
  <si>
    <t>Durées maximales, contributions et droits de diffusion admissibles :</t>
  </si>
  <si>
    <t>Nom du télédiffuseur</t>
  </si>
  <si>
    <r>
      <t xml:space="preserve">Montant admissible de la participation au capital </t>
    </r>
    <r>
      <rPr>
        <b/>
        <sz val="10"/>
        <color rgb="FFFF0000"/>
        <rFont val="Calibri"/>
        <family val="2"/>
        <scheme val="minor"/>
      </rPr>
      <t>(3)</t>
    </r>
  </si>
  <si>
    <t>Contribution totale du FMC</t>
  </si>
  <si>
    <t>Durée ajustée</t>
  </si>
  <si>
    <t>Durée d'exclusivité  ajustée</t>
  </si>
  <si>
    <t>Date révisée du début de la durée</t>
  </si>
  <si>
    <t>S/O</t>
  </si>
  <si>
    <t>Totals:</t>
  </si>
  <si>
    <t>(3) : La participation au capital inférieure à 100 000 $ est automatiquement convertie en supplément de droits de diffusion</t>
  </si>
  <si>
    <t>Exigence seuil en matière de droits de diffusion :</t>
  </si>
  <si>
    <t>Montant excédentaire     OU           (insuffisant)</t>
  </si>
  <si>
    <t>Bonus de production régionale anglaise</t>
  </si>
  <si>
    <t xml:space="preserve">Dramatique ou Animation </t>
  </si>
  <si>
    <t>Incitatif pour les minorités anglophones</t>
  </si>
  <si>
    <t>Incitatif du Nord</t>
  </si>
  <si>
    <t>Production régionale de langue française au Québec</t>
  </si>
  <si>
    <t>Contribution FMC</t>
  </si>
  <si>
    <t>Programmes sélectifs : Langues diverses et Autochtones</t>
  </si>
  <si>
    <t>ERT</t>
  </si>
  <si>
    <r>
      <t>Mesures incitatives</t>
    </r>
    <r>
      <rPr>
        <b/>
        <sz val="10"/>
        <color rgb="FFFF0000"/>
        <rFont val="Calibri"/>
        <family val="2"/>
        <scheme val="minor"/>
      </rPr>
      <t>***</t>
    </r>
  </si>
  <si>
    <t>Maximum                 FMC</t>
  </si>
  <si>
    <t>Maximum  programme sélectif</t>
  </si>
  <si>
    <t>Maximum          ERT</t>
  </si>
  <si>
    <t xml:space="preserve"> Maximum Mesures incitatives</t>
  </si>
  <si>
    <t>60% des coûts admissibles (Max 750,000$) ou 84% si Programmes combinés</t>
  </si>
  <si>
    <t>60% des coûts admissibles (Max 550,000$) ou 84% si Programmes combinés</t>
  </si>
  <si>
    <t>49% des coûts admissibles (Max 200,000$) ou 84% si Programmes combinés</t>
  </si>
  <si>
    <t xml:space="preserve">15% des dépenses admissibles  (Max 1,000,000$) </t>
  </si>
  <si>
    <t xml:space="preserve">15% des dépenses admissibles  (Max 900,000$) </t>
  </si>
  <si>
    <t xml:space="preserve">30% des dépenses admissibles  (Max 200,000$) </t>
  </si>
  <si>
    <t>15% des dépenses admissibles  (Max 225,000$)  -- réduit le maximum ERT</t>
  </si>
  <si>
    <t>POV Contribution</t>
  </si>
  <si>
    <t>POV</t>
  </si>
  <si>
    <t>Eligible Triggering Commitment Threshold:</t>
  </si>
  <si>
    <t>Date:</t>
  </si>
  <si>
    <r>
      <t>Is this application combined with the Broadcaster Envelope Program</t>
    </r>
    <r>
      <rPr>
        <b/>
        <sz val="10"/>
        <rFont val="Calibri"/>
        <family val="2"/>
        <scheme val="minor"/>
      </rPr>
      <t>?</t>
    </r>
  </si>
  <si>
    <r>
      <t>Broadcaster Envelope</t>
    </r>
    <r>
      <rPr>
        <b/>
        <sz val="10"/>
        <rFont val="Calibri"/>
        <family val="2"/>
        <scheme val="minor"/>
      </rPr>
      <t xml:space="preserve"> Program C</t>
    </r>
    <r>
      <rPr>
        <b/>
        <sz val="10"/>
        <color indexed="8"/>
        <rFont val="Calibri"/>
        <family val="2"/>
        <scheme val="minor"/>
      </rPr>
      <t>ontribution</t>
    </r>
  </si>
  <si>
    <t>Broadcaster Envelope Program</t>
  </si>
  <si>
    <t>Contribution du FMC</t>
  </si>
  <si>
    <t>Sélectif $</t>
  </si>
  <si>
    <t>Contribution du Programme documentaire d'auteur</t>
  </si>
  <si>
    <r>
      <t>CMF Contribution</t>
    </r>
    <r>
      <rPr>
        <b/>
        <sz val="10"/>
        <color rgb="FF1F497D"/>
        <rFont val="Calibri"/>
        <family val="2"/>
        <scheme val="minor"/>
      </rPr>
      <t xml:space="preserve"> </t>
    </r>
  </si>
  <si>
    <t xml:space="preserve">Distribution Advance 
(Intl. Rights)
</t>
  </si>
  <si>
    <t>Longs métrages documentaires</t>
  </si>
  <si>
    <t>Moindre des 2 : 
10 % des coûts admissibles ou 
60 000 $ par projet</t>
  </si>
  <si>
    <t>Moindre des 2 : 
15 % des coûts admissibles ou 
60 000 $ par heure</t>
  </si>
  <si>
    <t>Exigence seuil pour les déclencheurs admissibles :</t>
  </si>
  <si>
    <t xml:space="preserve">30% des dépenses admissibles (max. 200 000 $) </t>
  </si>
  <si>
    <t>49 % ou 
max. 400 000 $
(84 % si combiné avec autres programmes)</t>
  </si>
  <si>
    <t>Sub-total:</t>
  </si>
  <si>
    <t>Sous-total :</t>
  </si>
  <si>
    <t>Total :</t>
  </si>
  <si>
    <t>Maximum</t>
  </si>
  <si>
    <t>Programme pour les documentaires d'auteur</t>
  </si>
  <si>
    <r>
      <rPr>
        <b/>
        <sz val="12"/>
        <rFont val="Calibri"/>
        <family val="2"/>
        <scheme val="minor"/>
      </rPr>
      <t xml:space="preserve">2025-2026 - Triggering Commitment Thresholds, Maximum Contribution and Term Calculation Sheet </t>
    </r>
    <r>
      <rPr>
        <b/>
        <sz val="11"/>
        <rFont val="Calibri"/>
        <family val="2"/>
        <scheme val="minor"/>
      </rPr>
      <t xml:space="preserve">
</t>
    </r>
    <r>
      <rPr>
        <b/>
        <sz val="14"/>
        <rFont val="Calibri"/>
        <family val="2"/>
        <scheme val="minor"/>
      </rPr>
      <t>POV Program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color rgb="FF0070C0"/>
        <rFont val="Calibri"/>
        <family val="2"/>
        <scheme val="minor"/>
      </rPr>
      <t>*voir onglet séparé au bas pour les projets en français</t>
    </r>
  </si>
  <si>
    <t>(1): Enter broadcasters and licences first and in order of start of term dates</t>
  </si>
  <si>
    <t>(2): If the project has both English and French licences, do not complete the "Exclusivity" column</t>
  </si>
  <si>
    <r>
      <t xml:space="preserve">Exclusivity 
(In Months) 
</t>
    </r>
    <r>
      <rPr>
        <b/>
        <sz val="10"/>
        <color theme="3"/>
        <rFont val="Calibri"/>
        <family val="2"/>
        <scheme val="minor"/>
      </rPr>
      <t>(2)</t>
    </r>
  </si>
  <si>
    <t>Feature-length documentary</t>
  </si>
  <si>
    <t>Lesser of 10% or $90,000 per project</t>
  </si>
  <si>
    <r>
      <t xml:space="preserve">2025-2026 - Feuille de calcul des exigences seuil pour les déclencheurs admissibles, de la contribution et durée maximale
</t>
    </r>
    <r>
      <rPr>
        <b/>
        <sz val="14"/>
        <rFont val="Calibri"/>
        <family val="2"/>
        <scheme val="minor"/>
      </rPr>
      <t>Programme pour les documentaires d'auteur</t>
    </r>
    <r>
      <rPr>
        <b/>
        <sz val="12"/>
        <rFont val="Calibri"/>
        <family val="2"/>
        <scheme val="minor"/>
      </rPr>
      <t xml:space="preserve">
</t>
    </r>
    <r>
      <rPr>
        <b/>
        <sz val="12"/>
        <color rgb="FFFF0000"/>
        <rFont val="Calibri"/>
        <family val="2"/>
        <scheme val="minor"/>
      </rPr>
      <t>*see different sheet at the bottom for an English project</t>
    </r>
  </si>
  <si>
    <t>(1) : Entrez les licences en premier et par ordre croissant de début des droits</t>
  </si>
  <si>
    <r>
      <t xml:space="preserve">Les diffuseurs sont-ils </t>
    </r>
    <r>
      <rPr>
        <b/>
        <u/>
        <sz val="9.5"/>
        <color rgb="FF000000"/>
        <rFont val="Calibri"/>
        <family val="2"/>
        <scheme val="minor"/>
      </rPr>
      <t>tous</t>
    </r>
    <r>
      <rPr>
        <b/>
        <sz val="9.5"/>
        <color indexed="8"/>
        <rFont val="Calibri"/>
        <family val="2"/>
        <scheme val="minor"/>
      </rPr>
      <t xml:space="preserve"> éducatifs ?</t>
    </r>
  </si>
  <si>
    <t>Maximum Terms, CMF Contributions, Eligible Licence Fees and Minimum Market Contribution (MMC):</t>
  </si>
  <si>
    <t>Durées maximales, contributions du FMC, Droits de diffusion admissibles et Contribution minimale du marché (CMM) :</t>
  </si>
  <si>
    <r>
      <t xml:space="preserve">Start of Term Date
</t>
    </r>
    <r>
      <rPr>
        <b/>
        <sz val="10"/>
        <color theme="3"/>
        <rFont val="Calibri"/>
        <family val="2"/>
        <scheme val="minor"/>
      </rPr>
      <t>(1)</t>
    </r>
  </si>
  <si>
    <r>
      <t xml:space="preserve">Date de début de la période
</t>
    </r>
    <r>
      <rPr>
        <b/>
        <sz val="10"/>
        <color rgb="FF1F497D"/>
        <rFont val="Calibri"/>
        <family val="2"/>
        <scheme val="minor"/>
      </rPr>
      <t>(1)</t>
    </r>
  </si>
  <si>
    <t>Durée de la période
(en mois)</t>
  </si>
  <si>
    <t>Described video required?</t>
  </si>
  <si>
    <t>Vidéodescription requise?</t>
  </si>
  <si>
    <t>Carbon calculator required?</t>
  </si>
  <si>
    <r>
      <t xml:space="preserve">Contribution du FMC
</t>
    </r>
    <r>
      <rPr>
        <b/>
        <sz val="10"/>
        <color theme="3"/>
        <rFont val="Calibri"/>
        <family val="2"/>
        <scheme val="minor"/>
      </rPr>
      <t>(Entrez les env. des télédiffuseurs)</t>
    </r>
  </si>
  <si>
    <t>Droits de diffusion admissibles (canadiens)</t>
  </si>
  <si>
    <t>Avance de distribution
(droits int.)</t>
  </si>
  <si>
    <t>Surplus
Montants non déclencheurs</t>
  </si>
  <si>
    <t>Surplus
Non-trigger amounts</t>
  </si>
  <si>
    <t>MMC</t>
  </si>
  <si>
    <t>ELF &amp; MMC
% of Budget</t>
  </si>
  <si>
    <t>Distributor</t>
  </si>
  <si>
    <t>CMM</t>
  </si>
  <si>
    <t>Distributeur</t>
  </si>
  <si>
    <r>
      <t xml:space="preserve">Exclusivité 
(en mois)
</t>
    </r>
    <r>
      <rPr>
        <b/>
        <sz val="10"/>
        <color rgb="FF1F497D"/>
        <rFont val="Calibri"/>
        <family val="2"/>
        <scheme val="minor"/>
      </rPr>
      <t>(2)</t>
    </r>
  </si>
  <si>
    <t>(2) : Lorsque le projet cumule des licences en français ET en anglais, ne pas compléter la colonne "Exclusivité"</t>
  </si>
  <si>
    <t>Montant admissible de la participation au capital</t>
  </si>
  <si>
    <t>Maximum  Investment</t>
  </si>
  <si>
    <t>CMM permise</t>
  </si>
  <si>
    <r>
      <t xml:space="preserve">Distributeur </t>
    </r>
    <r>
      <rPr>
        <b/>
        <sz val="10"/>
        <color theme="3"/>
        <rFont val="Calibri"/>
        <family val="2"/>
        <scheme val="minor"/>
      </rPr>
      <t>(3)</t>
    </r>
  </si>
  <si>
    <t xml:space="preserve"> % sur le devis des
DDA &amp; CMM</t>
  </si>
  <si>
    <t>Droits de diffusion admissibles
(DDA)
canadiens</t>
  </si>
  <si>
    <t>(3): Only the portion required to meet Threshold will appear in the MMC columns (H or I)</t>
  </si>
  <si>
    <r>
      <t>Distributor</t>
    </r>
    <r>
      <rPr>
        <b/>
        <sz val="10"/>
        <color theme="3"/>
        <rFont val="Calibri"/>
        <family val="2"/>
        <scheme val="minor"/>
      </rPr>
      <t xml:space="preserve"> (3)</t>
    </r>
  </si>
  <si>
    <t>MMC allowable</t>
  </si>
  <si>
    <t>15 % des dépenses admissibles (max. 225 000 $)</t>
  </si>
  <si>
    <t>For the Canadian Broadcaster(s)</t>
  </si>
  <si>
    <t>Pour chaque télédiffuseur canadien</t>
  </si>
  <si>
    <r>
      <t>Nom du télédiffuseur</t>
    </r>
    <r>
      <rPr>
        <b/>
        <sz val="10"/>
        <color rgb="FFFF0000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ou Distributeur canadien admissible
ou télédiffuseur étranger programmé</t>
    </r>
  </si>
  <si>
    <r>
      <t xml:space="preserve">Télédiffuseur
étranger/
programmé </t>
    </r>
    <r>
      <rPr>
        <b/>
        <sz val="10"/>
        <color theme="3"/>
        <rFont val="Calibri"/>
        <family val="2"/>
        <scheme val="minor"/>
      </rPr>
      <t>(3)</t>
    </r>
  </si>
  <si>
    <t>Télédiffuseur 
étranger/
programmé</t>
  </si>
  <si>
    <r>
      <t xml:space="preserve">Nom du télédiffuseur </t>
    </r>
    <r>
      <rPr>
        <b/>
        <sz val="10"/>
        <color rgb="FF1F497D"/>
        <rFont val="Calibri"/>
        <family val="2"/>
        <scheme val="minor"/>
      </rPr>
      <t>(1)</t>
    </r>
    <r>
      <rPr>
        <b/>
        <sz val="10"/>
        <color rgb="FFFF0000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ou Distributeur canadien admissible
ou télédiffuseur étranger/programmé</t>
    </r>
  </si>
  <si>
    <t>(3) : Seul le montant requis pour atteindre l'exigence seuil apparaîtra dans les colonnes des CMM (H ou I)</t>
  </si>
  <si>
    <r>
      <t xml:space="preserve">Broadcaster </t>
    </r>
    <r>
      <rPr>
        <b/>
        <sz val="10"/>
        <color rgb="FF1F497D"/>
        <rFont val="Calibri"/>
        <family val="2"/>
        <scheme val="minor"/>
      </rPr>
      <t>(1)</t>
    </r>
    <r>
      <rPr>
        <b/>
        <sz val="10"/>
        <color rgb="FFFF0000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Or Eligible Canadian Distributor
Or foreign/scheduled broadcaster</t>
    </r>
  </si>
  <si>
    <r>
      <t>Broadcaster</t>
    </r>
    <r>
      <rPr>
        <b/>
        <sz val="10"/>
        <color rgb="FFFF0000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Or Eligible Canadian Distributor
Or Foreign/scheduled broadcaster</t>
    </r>
  </si>
  <si>
    <t>Canadian
Eligible Licence Fee
(ELF)</t>
  </si>
  <si>
    <r>
      <t xml:space="preserve">Foreign/scheduled broadcaster </t>
    </r>
    <r>
      <rPr>
        <b/>
        <sz val="10"/>
        <color theme="3"/>
        <rFont val="Calibri"/>
        <family val="2"/>
        <scheme val="minor"/>
      </rPr>
      <t>(3)</t>
    </r>
  </si>
  <si>
    <t>Foreign/scheduled broadcaster</t>
  </si>
  <si>
    <r>
      <t xml:space="preserve">Canadian
Licence Fee </t>
    </r>
    <r>
      <rPr>
        <b/>
        <sz val="10"/>
        <color rgb="FF1F497D"/>
        <rFont val="Calibri"/>
        <family val="2"/>
        <scheme val="minor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</si>
</sst>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5" formatCode="#,##0\ &quot;$&quot;_);\(#,##0\ &quot;$&quot;\)"/>
    <numFmt numFmtId="6" formatCode="#,##0\ &quot;$&quot;_);[Red]\(#,##0\ &quot;$&quot;\)"/>
    <numFmt numFmtId="44" formatCode="_ * #,##0.00_)\ &quot;$&quot;_ ;_ * \(#,##0.00\)\ &quot;$&quot;_ ;_ * &quot;-&quot;??_)\ &quot;$&quot;_ ;_ @_ "/>
    <numFmt numFmtId="164" formatCode="_-* #,##0_-;\-* #,##0_-;_-* &quot;-&quot;_-;_-@_-"/>
    <numFmt numFmtId="165" formatCode="_-&quot;$&quot;* #,##0_-;\-&quot;$&quot;* #,##0_-;_-&quot;$&quot;* &quot;-&quot;_-;_-@_-"/>
    <numFmt numFmtId="166" formatCode="&quot;$&quot;#,##0.00_);\(&quot;$&quot;#,##0.00\)"/>
    <numFmt numFmtId="167" formatCode="0.0%"/>
    <numFmt numFmtId="168" formatCode="[$-409]d\-mmm\-yyyy;@"/>
    <numFmt numFmtId="169" formatCode="&quot;$&quot;#,##0"/>
    <numFmt numFmtId="170" formatCode="yyyy\-mm\-dd;@"/>
    <numFmt numFmtId="171" formatCode="[$$-1009]#,##0"/>
    <numFmt numFmtId="172" formatCode="#,##0.0_);\(#,##0.0\)"/>
    <numFmt numFmtId="173" formatCode="[$$-409]#,##0_);\([$$-409]#,##0\)"/>
    <numFmt numFmtId="174" formatCode="yyyy/mm/dd;@"/>
    <numFmt numFmtId="175" formatCode=";;;"/>
    <numFmt numFmtId="176" formatCode="[$$-1009]#,##0;\-[$$-1009]#,##0"/>
    <numFmt numFmtId="177" formatCode="_ * #,##0_)\ &quot;$&quot;_ ;_ * \(#,##0\)\ &quot;$&quot;_ ;_ * &quot;-&quot;??_)\ &quot;$&quot;_ ;_ @_ "/>
    <numFmt numFmtId="178" formatCode="[$-40C]d\-mmm\-yyyy;@"/>
    <numFmt numFmtId="179" formatCode="#,##0\ [$$-C0C]_);[Red]\(#,##0\ [$$-C0C]\)"/>
    <numFmt numFmtId="180" formatCode="_ * #,##0_)\ [$$-C0C]_ ;_ * \(#,##0\)\ [$$-C0C]_ ;_ * &quot;-&quot;??_)\ [$$-C0C]_ ;_ @_ "/>
    <numFmt numFmtId="181" formatCode="#,##0\ [$$-C0C]_);\(#,##0\ [$$-C0C]\)"/>
    <numFmt numFmtId="182" formatCode="_-&quot;$&quot;* #,##0.00_-;\-&quot;$&quot;* #,##0.00_-;_-&quot;$&quot;* &quot;-&quot;??_-;_-@_-"/>
    <numFmt numFmtId="183" formatCode="0.000%"/>
  </numFmts>
  <fonts count="79" x14ac:knownFonts="1">
    <font>
      <sz val="12"/>
      <name val="Arial"/>
    </font>
    <font>
      <sz val="12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b/>
      <i/>
      <sz val="10"/>
      <color rgb="FFFF0000"/>
      <name val="Arial"/>
      <family val="2"/>
    </font>
    <font>
      <b/>
      <sz val="8.5"/>
      <color rgb="FFFF0000"/>
      <name val="Arial"/>
      <family val="2"/>
    </font>
    <font>
      <sz val="8.5"/>
      <color rgb="FFFF0000"/>
      <name val="Arial"/>
      <family val="2"/>
    </font>
    <font>
      <b/>
      <sz val="8"/>
      <name val="Arial"/>
      <family val="2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b/>
      <i/>
      <sz val="16"/>
      <color rgb="FF00B050"/>
      <name val="Arial"/>
      <family val="2"/>
    </font>
    <font>
      <sz val="16"/>
      <color rgb="FFFF0000"/>
      <name val="Arial"/>
      <family val="2"/>
    </font>
    <font>
      <b/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9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i/>
      <strike/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i/>
      <u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rgb="FFFF0000"/>
      <name val="Arial"/>
      <family val="2"/>
    </font>
    <font>
      <b/>
      <sz val="11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sz val="14"/>
      <name val="Calibri"/>
      <family val="2"/>
    </font>
    <font>
      <sz val="10"/>
      <color rgb="FF0070C0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9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11"/>
      <name val="Arial"/>
      <family val="2"/>
    </font>
    <font>
      <b/>
      <i/>
      <sz val="10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9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i/>
      <strike/>
      <sz val="8"/>
      <color theme="3"/>
      <name val="Calibri"/>
      <family val="2"/>
      <scheme val="minor"/>
    </font>
    <font>
      <b/>
      <i/>
      <sz val="10"/>
      <color rgb="FF1F497D"/>
      <name val="Calibri"/>
      <family val="2"/>
      <scheme val="minor"/>
    </font>
    <font>
      <sz val="12"/>
      <color rgb="FF1F497D"/>
      <name val="Arial"/>
      <family val="2"/>
    </font>
    <font>
      <b/>
      <sz val="10"/>
      <color rgb="FF1F497D"/>
      <name val="Calibri"/>
      <family val="2"/>
      <scheme val="minor"/>
    </font>
    <font>
      <sz val="8"/>
      <name val="Arial"/>
      <family val="2"/>
    </font>
    <font>
      <b/>
      <sz val="10"/>
      <color rgb="FF0070C0"/>
      <name val="Calibri"/>
      <family val="2"/>
      <scheme val="minor"/>
    </font>
    <font>
      <b/>
      <i/>
      <u/>
      <sz val="10"/>
      <color indexed="8"/>
      <name val="Calibri"/>
      <family val="2"/>
      <scheme val="minor"/>
    </font>
    <font>
      <b/>
      <i/>
      <sz val="10"/>
      <color rgb="FF1F497D"/>
      <name val="Calibri"/>
      <family val="2"/>
    </font>
    <font>
      <sz val="10"/>
      <color rgb="FF1F497D"/>
      <name val="Arial"/>
      <family val="2"/>
    </font>
    <font>
      <b/>
      <i/>
      <sz val="10"/>
      <color rgb="FF1F497D"/>
      <name val="Arial"/>
      <family val="2"/>
    </font>
    <font>
      <sz val="9"/>
      <color rgb="FF1F497D"/>
      <name val="Arial"/>
      <family val="2"/>
    </font>
    <font>
      <sz val="6"/>
      <color theme="1"/>
      <name val="Calibri"/>
      <family val="2"/>
      <scheme val="minor"/>
    </font>
    <font>
      <b/>
      <sz val="9.5"/>
      <color indexed="8"/>
      <name val="Calibri"/>
      <family val="2"/>
      <scheme val="minor"/>
    </font>
    <font>
      <b/>
      <u/>
      <sz val="9.5"/>
      <color rgb="FF000000"/>
      <name val="Calibri"/>
      <family val="2"/>
      <scheme val="minor"/>
    </font>
    <font>
      <b/>
      <i/>
      <sz val="9"/>
      <color rgb="FF1F497D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i/>
      <sz val="1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8A15A"/>
        <bgColor indexed="64"/>
      </patternFill>
    </fill>
    <fill>
      <patternFill patternType="solid">
        <fgColor rgb="FFF4750C"/>
        <bgColor indexed="64"/>
      </patternFill>
    </fill>
    <fill>
      <patternFill patternType="solid">
        <fgColor rgb="FFFDE2CB"/>
        <bgColor indexed="64"/>
      </patternFill>
    </fill>
    <fill>
      <patternFill patternType="solid">
        <fgColor rgb="FFE1EB8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9D9D9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29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165" fontId="8" fillId="0" borderId="0" xfId="2" applyFont="1" applyFill="1" applyBorder="1" applyAlignment="1" applyProtection="1">
      <alignment horizontal="left" vertical="center" wrapText="1"/>
    </xf>
    <xf numFmtId="165" fontId="11" fillId="0" borderId="0" xfId="2" applyFont="1" applyFill="1" applyBorder="1" applyAlignment="1" applyProtection="1">
      <alignment vertical="center" wrapText="1"/>
    </xf>
    <xf numFmtId="0" fontId="12" fillId="0" borderId="0" xfId="0" applyFont="1" applyAlignment="1">
      <alignment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 applyAlignment="1">
      <alignment horizontal="left" vertical="top"/>
    </xf>
    <xf numFmtId="175" fontId="4" fillId="0" borderId="0" xfId="0" applyNumberFormat="1" applyFont="1" applyAlignment="1" applyProtection="1">
      <alignment horizontal="right" vertical="center" wrapText="1"/>
      <protection locked="0"/>
    </xf>
    <xf numFmtId="175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165" fontId="4" fillId="0" borderId="0" xfId="2" applyFont="1" applyFill="1" applyBorder="1" applyAlignment="1" applyProtection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9" fontId="28" fillId="3" borderId="5" xfId="3" applyFont="1" applyFill="1" applyBorder="1" applyAlignment="1" applyProtection="1">
      <alignment horizontal="center" vertical="center" wrapText="1"/>
    </xf>
    <xf numFmtId="0" fontId="28" fillId="0" borderId="18" xfId="0" applyFont="1" applyBorder="1" applyAlignment="1">
      <alignment horizontal="right" vertical="center" wrapText="1"/>
    </xf>
    <xf numFmtId="0" fontId="30" fillId="0" borderId="0" xfId="0" applyFont="1"/>
    <xf numFmtId="0" fontId="25" fillId="0" borderId="0" xfId="0" applyFont="1"/>
    <xf numFmtId="0" fontId="31" fillId="0" borderId="0" xfId="0" applyFont="1"/>
    <xf numFmtId="0" fontId="32" fillId="0" borderId="5" xfId="0" applyFont="1" applyBorder="1" applyAlignment="1">
      <alignment horizontal="center" vertical="center" wrapText="1"/>
    </xf>
    <xf numFmtId="0" fontId="27" fillId="0" borderId="0" xfId="0" applyFont="1"/>
    <xf numFmtId="0" fontId="33" fillId="0" borderId="0" xfId="0" applyFont="1"/>
    <xf numFmtId="0" fontId="23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166" fontId="31" fillId="0" borderId="0" xfId="2" applyNumberFormat="1" applyFont="1" applyFill="1" applyBorder="1" applyAlignment="1" applyProtection="1">
      <alignment horizontal="center" vertical="center" wrapText="1"/>
    </xf>
    <xf numFmtId="165" fontId="31" fillId="0" borderId="0" xfId="2" applyFont="1" applyFill="1" applyBorder="1" applyAlignment="1" applyProtection="1">
      <alignment horizontal="center" vertical="center" wrapText="1"/>
    </xf>
    <xf numFmtId="37" fontId="31" fillId="0" borderId="0" xfId="2" applyNumberFormat="1" applyFont="1" applyFill="1" applyBorder="1" applyAlignment="1" applyProtection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34" fillId="0" borderId="0" xfId="0" applyFont="1" applyAlignment="1">
      <alignment vertical="center" wrapText="1"/>
    </xf>
    <xf numFmtId="0" fontId="30" fillId="0" borderId="0" xfId="0" applyFont="1" applyAlignment="1">
      <alignment vertical="center"/>
    </xf>
    <xf numFmtId="0" fontId="14" fillId="6" borderId="4" xfId="0" applyFont="1" applyFill="1" applyBorder="1" applyAlignment="1">
      <alignment horizontal="left" vertical="center"/>
    </xf>
    <xf numFmtId="0" fontId="31" fillId="6" borderId="4" xfId="0" applyFont="1" applyFill="1" applyBorder="1" applyAlignment="1">
      <alignment horizontal="right" vertical="center" wrapText="1"/>
    </xf>
    <xf numFmtId="165" fontId="31" fillId="6" borderId="4" xfId="2" applyFont="1" applyFill="1" applyBorder="1" applyAlignment="1" applyProtection="1">
      <alignment horizontal="right" vertical="center" wrapText="1"/>
    </xf>
    <xf numFmtId="165" fontId="31" fillId="6" borderId="4" xfId="2" applyFont="1" applyFill="1" applyBorder="1" applyAlignment="1" applyProtection="1">
      <alignment vertical="center" wrapText="1"/>
    </xf>
    <xf numFmtId="0" fontId="30" fillId="0" borderId="4" xfId="0" applyFont="1" applyBorder="1" applyAlignment="1">
      <alignment vertical="center"/>
    </xf>
    <xf numFmtId="167" fontId="36" fillId="0" borderId="0" xfId="3" applyNumberFormat="1" applyFont="1" applyFill="1" applyBorder="1" applyAlignment="1" applyProtection="1">
      <alignment vertical="center" wrapText="1"/>
    </xf>
    <xf numFmtId="165" fontId="31" fillId="0" borderId="4" xfId="2" applyFont="1" applyFill="1" applyBorder="1" applyAlignment="1" applyProtection="1">
      <alignment vertical="center" wrapText="1"/>
    </xf>
    <xf numFmtId="0" fontId="14" fillId="6" borderId="0" xfId="0" applyFont="1" applyFill="1" applyAlignment="1">
      <alignment vertical="center"/>
    </xf>
    <xf numFmtId="0" fontId="31" fillId="6" borderId="0" xfId="0" applyFont="1" applyFill="1" applyAlignment="1">
      <alignment horizontal="center" vertical="center" wrapText="1"/>
    </xf>
    <xf numFmtId="0" fontId="27" fillId="9" borderId="0" xfId="0" applyFont="1" applyFill="1" applyAlignment="1" applyProtection="1">
      <alignment vertical="center"/>
      <protection locked="0" hidden="1"/>
    </xf>
    <xf numFmtId="0" fontId="27" fillId="9" borderId="0" xfId="0" applyFont="1" applyFill="1" applyAlignment="1" applyProtection="1">
      <alignment vertical="center"/>
      <protection hidden="1"/>
    </xf>
    <xf numFmtId="0" fontId="37" fillId="0" borderId="0" xfId="0" applyFont="1" applyAlignment="1">
      <alignment vertical="center"/>
    </xf>
    <xf numFmtId="0" fontId="37" fillId="0" borderId="0" xfId="0" applyFont="1"/>
    <xf numFmtId="0" fontId="38" fillId="0" borderId="0" xfId="0" applyFont="1"/>
    <xf numFmtId="0" fontId="15" fillId="6" borderId="0" xfId="0" applyFont="1" applyFill="1" applyAlignment="1">
      <alignment horizontal="left" vertical="center"/>
    </xf>
    <xf numFmtId="0" fontId="26" fillId="6" borderId="0" xfId="0" applyFont="1" applyFill="1" applyAlignment="1">
      <alignment horizontal="left" vertical="center"/>
    </xf>
    <xf numFmtId="0" fontId="31" fillId="0" borderId="0" xfId="0" applyFont="1" applyAlignment="1">
      <alignment vertical="center"/>
    </xf>
    <xf numFmtId="0" fontId="35" fillId="3" borderId="5" xfId="0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28" fillId="0" borderId="0" xfId="0" applyFont="1"/>
    <xf numFmtId="0" fontId="24" fillId="0" borderId="0" xfId="0" applyFont="1"/>
    <xf numFmtId="0" fontId="29" fillId="0" borderId="0" xfId="0" applyFont="1"/>
    <xf numFmtId="167" fontId="36" fillId="0" borderId="0" xfId="3" applyNumberFormat="1" applyFont="1" applyFill="1" applyBorder="1" applyAlignment="1" applyProtection="1">
      <alignment vertical="center"/>
    </xf>
    <xf numFmtId="165" fontId="35" fillId="11" borderId="0" xfId="2" applyFont="1" applyFill="1" applyBorder="1" applyAlignment="1" applyProtection="1">
      <alignment horizontal="left" vertical="center"/>
    </xf>
    <xf numFmtId="49" fontId="27" fillId="3" borderId="5" xfId="0" applyNumberFormat="1" applyFont="1" applyFill="1" applyBorder="1" applyAlignment="1">
      <alignment horizontal="center" vertical="center" wrapText="1"/>
    </xf>
    <xf numFmtId="9" fontId="27" fillId="3" borderId="5" xfId="3" applyFont="1" applyFill="1" applyBorder="1" applyAlignment="1" applyProtection="1">
      <alignment horizontal="center" vertical="center" wrapText="1"/>
    </xf>
    <xf numFmtId="173" fontId="27" fillId="3" borderId="6" xfId="2" applyNumberFormat="1" applyFont="1" applyFill="1" applyBorder="1" applyAlignment="1" applyProtection="1">
      <alignment horizontal="center" vertical="center" wrapText="1"/>
    </xf>
    <xf numFmtId="0" fontId="27" fillId="3" borderId="5" xfId="0" applyFont="1" applyFill="1" applyBorder="1" applyAlignment="1">
      <alignment horizontal="center" vertical="center" wrapText="1"/>
    </xf>
    <xf numFmtId="1" fontId="27" fillId="3" borderId="5" xfId="0" applyNumberFormat="1" applyFont="1" applyFill="1" applyBorder="1" applyAlignment="1">
      <alignment horizontal="center" vertical="center" wrapText="1"/>
    </xf>
    <xf numFmtId="168" fontId="27" fillId="3" borderId="5" xfId="0" applyNumberFormat="1" applyFont="1" applyFill="1" applyBorder="1" applyAlignment="1">
      <alignment horizontal="center" vertical="center"/>
    </xf>
    <xf numFmtId="49" fontId="27" fillId="3" borderId="11" xfId="0" applyNumberFormat="1" applyFont="1" applyFill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9" borderId="0" xfId="0" applyFont="1" applyFill="1" applyAlignment="1">
      <alignment vertical="center"/>
    </xf>
    <xf numFmtId="0" fontId="27" fillId="9" borderId="0" xfId="0" applyFont="1" applyFill="1" applyAlignment="1" applyProtection="1">
      <alignment vertical="center" wrapText="1"/>
      <protection hidden="1"/>
    </xf>
    <xf numFmtId="9" fontId="27" fillId="0" borderId="5" xfId="0" applyNumberFormat="1" applyFont="1" applyBorder="1" applyAlignment="1">
      <alignment horizontal="center" vertical="center" wrapText="1"/>
    </xf>
    <xf numFmtId="0" fontId="28" fillId="0" borderId="3" xfId="0" applyFont="1" applyBorder="1" applyAlignment="1">
      <alignment horizontal="left" vertical="center" wrapText="1"/>
    </xf>
    <xf numFmtId="0" fontId="28" fillId="0" borderId="1" xfId="0" applyFont="1" applyBorder="1" applyAlignment="1">
      <alignment vertical="center" wrapText="1"/>
    </xf>
    <xf numFmtId="0" fontId="40" fillId="9" borderId="0" xfId="0" applyFont="1" applyFill="1" applyAlignment="1">
      <alignment vertical="center"/>
    </xf>
    <xf numFmtId="0" fontId="33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0" fontId="40" fillId="0" borderId="0" xfId="0" applyFont="1"/>
    <xf numFmtId="0" fontId="28" fillId="0" borderId="5" xfId="0" applyFont="1" applyBorder="1" applyAlignment="1">
      <alignment horizontal="center" vertical="center" wrapText="1"/>
    </xf>
    <xf numFmtId="0" fontId="40" fillId="0" borderId="0" xfId="0" applyFont="1" applyAlignment="1">
      <alignment vertical="center"/>
    </xf>
    <xf numFmtId="0" fontId="28" fillId="0" borderId="11" xfId="0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71" fontId="29" fillId="0" borderId="0" xfId="0" applyNumberFormat="1" applyFont="1" applyAlignment="1">
      <alignment vertical="center"/>
    </xf>
    <xf numFmtId="0" fontId="26" fillId="0" borderId="0" xfId="0" applyFont="1"/>
    <xf numFmtId="0" fontId="24" fillId="0" borderId="5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right" vertical="center" wrapText="1"/>
    </xf>
    <xf numFmtId="0" fontId="28" fillId="0" borderId="6" xfId="0" applyFont="1" applyBorder="1" applyAlignment="1">
      <alignment horizontal="right" vertical="center" wrapText="1"/>
    </xf>
    <xf numFmtId="0" fontId="28" fillId="0" borderId="3" xfId="0" applyFont="1" applyBorder="1" applyAlignment="1">
      <alignment horizontal="right" vertical="center" wrapText="1"/>
    </xf>
    <xf numFmtId="165" fontId="42" fillId="11" borderId="0" xfId="2" applyFont="1" applyFill="1" applyBorder="1" applyAlignment="1" applyProtection="1">
      <alignment horizontal="left"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6" fillId="0" borderId="0" xfId="0" applyFont="1" applyAlignment="1">
      <alignment horizontal="right" vertical="top"/>
    </xf>
    <xf numFmtId="169" fontId="28" fillId="0" borderId="2" xfId="0" applyNumberFormat="1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28" fillId="0" borderId="12" xfId="0" applyFont="1" applyBorder="1" applyAlignment="1">
      <alignment horizontal="right" vertical="center" wrapText="1"/>
    </xf>
    <xf numFmtId="0" fontId="48" fillId="0" borderId="0" xfId="0" applyFont="1" applyAlignment="1">
      <alignment vertical="center"/>
    </xf>
    <xf numFmtId="173" fontId="27" fillId="5" borderId="5" xfId="2" applyNumberFormat="1" applyFont="1" applyFill="1" applyBorder="1" applyAlignment="1" applyProtection="1">
      <alignment horizontal="center" vertical="center"/>
      <protection locked="0"/>
    </xf>
    <xf numFmtId="173" fontId="27" fillId="5" borderId="5" xfId="2" applyNumberFormat="1" applyFont="1" applyFill="1" applyBorder="1" applyAlignment="1" applyProtection="1">
      <alignment horizontal="center" vertical="center" wrapText="1"/>
      <protection locked="0"/>
    </xf>
    <xf numFmtId="37" fontId="27" fillId="2" borderId="5" xfId="2" applyNumberFormat="1" applyFont="1" applyFill="1" applyBorder="1" applyAlignment="1" applyProtection="1">
      <alignment horizontal="center" vertical="center" wrapText="1"/>
      <protection locked="0"/>
    </xf>
    <xf numFmtId="172" fontId="27" fillId="3" borderId="5" xfId="2" applyNumberFormat="1" applyFont="1" applyFill="1" applyBorder="1" applyAlignment="1" applyProtection="1">
      <alignment horizontal="center" vertical="center" wrapText="1"/>
    </xf>
    <xf numFmtId="165" fontId="12" fillId="0" borderId="0" xfId="2" applyFont="1" applyFill="1" applyBorder="1" applyAlignment="1" applyProtection="1">
      <alignment vertical="center" wrapText="1"/>
    </xf>
    <xf numFmtId="173" fontId="27" fillId="3" borderId="5" xfId="2" applyNumberFormat="1" applyFont="1" applyFill="1" applyBorder="1" applyAlignment="1" applyProtection="1">
      <alignment horizontal="center" vertical="center"/>
    </xf>
    <xf numFmtId="49" fontId="27" fillId="2" borderId="5" xfId="2" applyNumberFormat="1" applyFont="1" applyFill="1" applyBorder="1" applyAlignment="1" applyProtection="1">
      <alignment horizontal="center" vertical="center" wrapText="1"/>
      <protection locked="0"/>
    </xf>
    <xf numFmtId="174" fontId="27" fillId="5" borderId="5" xfId="2" applyNumberFormat="1" applyFont="1" applyFill="1" applyBorder="1" applyAlignment="1" applyProtection="1">
      <alignment horizontal="center" vertical="center" wrapText="1"/>
      <protection locked="0"/>
    </xf>
    <xf numFmtId="0" fontId="27" fillId="2" borderId="5" xfId="0" applyFont="1" applyFill="1" applyBorder="1" applyAlignment="1" applyProtection="1">
      <alignment horizontal="center" vertical="center" wrapText="1"/>
      <protection locked="0"/>
    </xf>
    <xf numFmtId="0" fontId="27" fillId="2" borderId="5" xfId="0" applyFont="1" applyFill="1" applyBorder="1" applyAlignment="1" applyProtection="1">
      <alignment horizontal="center" vertical="center"/>
      <protection locked="0"/>
    </xf>
    <xf numFmtId="49" fontId="27" fillId="2" borderId="11" xfId="2" applyNumberFormat="1" applyFont="1" applyFill="1" applyBorder="1" applyAlignment="1" applyProtection="1">
      <alignment horizontal="center" vertical="center" wrapText="1"/>
      <protection locked="0"/>
    </xf>
    <xf numFmtId="173" fontId="27" fillId="5" borderId="11" xfId="2" applyNumberFormat="1" applyFont="1" applyFill="1" applyBorder="1" applyAlignment="1" applyProtection="1">
      <alignment horizontal="center" vertical="center" wrapText="1"/>
      <protection locked="0"/>
    </xf>
    <xf numFmtId="0" fontId="28" fillId="0" borderId="19" xfId="0" applyFont="1" applyBorder="1" applyAlignment="1">
      <alignment horizontal="right" vertical="center" wrapText="1"/>
    </xf>
    <xf numFmtId="9" fontId="27" fillId="3" borderId="11" xfId="3" applyFont="1" applyFill="1" applyBorder="1" applyAlignment="1" applyProtection="1">
      <alignment horizontal="center" vertical="center" wrapText="1"/>
    </xf>
    <xf numFmtId="9" fontId="28" fillId="4" borderId="21" xfId="3" applyFont="1" applyFill="1" applyBorder="1" applyAlignment="1" applyProtection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1" fontId="27" fillId="3" borderId="1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166" fontId="27" fillId="0" borderId="0" xfId="0" applyNumberFormat="1" applyFont="1" applyAlignment="1">
      <alignment horizontal="center" vertical="center" wrapText="1"/>
    </xf>
    <xf numFmtId="173" fontId="33" fillId="3" borderId="5" xfId="2" applyNumberFormat="1" applyFont="1" applyFill="1" applyBorder="1" applyAlignment="1" applyProtection="1">
      <alignment horizontal="center" vertical="center" wrapText="1"/>
    </xf>
    <xf numFmtId="173" fontId="27" fillId="3" borderId="5" xfId="2" applyNumberFormat="1" applyFont="1" applyFill="1" applyBorder="1" applyAlignment="1" applyProtection="1">
      <alignment horizontal="center" vertical="center" wrapText="1"/>
    </xf>
    <xf numFmtId="37" fontId="27" fillId="3" borderId="8" xfId="2" applyNumberFormat="1" applyFont="1" applyFill="1" applyBorder="1" applyAlignment="1" applyProtection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166" fontId="33" fillId="0" borderId="6" xfId="2" applyNumberFormat="1" applyFont="1" applyFill="1" applyBorder="1" applyAlignment="1" applyProtection="1">
      <alignment horizontal="center" vertical="center" wrapText="1"/>
    </xf>
    <xf numFmtId="166" fontId="33" fillId="0" borderId="1" xfId="2" applyNumberFormat="1" applyFont="1" applyFill="1" applyBorder="1" applyAlignment="1" applyProtection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8" fillId="12" borderId="5" xfId="0" applyFont="1" applyFill="1" applyBorder="1" applyAlignment="1">
      <alignment horizontal="center" vertical="center" wrapText="1"/>
    </xf>
    <xf numFmtId="0" fontId="28" fillId="12" borderId="8" xfId="0" applyFont="1" applyFill="1" applyBorder="1" applyAlignment="1">
      <alignment horizontal="center" vertical="center" wrapText="1"/>
    </xf>
    <xf numFmtId="49" fontId="28" fillId="3" borderId="5" xfId="0" applyNumberFormat="1" applyFont="1" applyFill="1" applyBorder="1" applyAlignment="1">
      <alignment horizontal="center" vertical="center" wrapText="1"/>
    </xf>
    <xf numFmtId="5" fontId="28" fillId="2" borderId="5" xfId="2" applyNumberFormat="1" applyFont="1" applyFill="1" applyBorder="1" applyAlignment="1" applyProtection="1">
      <alignment horizontal="center" vertical="center" wrapText="1"/>
      <protection locked="0"/>
    </xf>
    <xf numFmtId="37" fontId="27" fillId="3" borderId="5" xfId="2" applyNumberFormat="1" applyFont="1" applyFill="1" applyBorder="1" applyAlignment="1" applyProtection="1">
      <alignment horizontal="center" vertical="center" wrapText="1"/>
    </xf>
    <xf numFmtId="0" fontId="24" fillId="0" borderId="14" xfId="0" applyFont="1" applyBorder="1" applyAlignment="1">
      <alignment horizontal="right" vertical="center" wrapText="1"/>
    </xf>
    <xf numFmtId="0" fontId="28" fillId="0" borderId="5" xfId="0" applyFont="1" applyBorder="1" applyAlignment="1">
      <alignment horizontal="right" vertical="center" wrapText="1"/>
    </xf>
    <xf numFmtId="0" fontId="28" fillId="0" borderId="5" xfId="0" applyFont="1" applyBorder="1" applyAlignment="1">
      <alignment horizontal="right" vertical="center"/>
    </xf>
    <xf numFmtId="0" fontId="24" fillId="0" borderId="11" xfId="0" applyFont="1" applyBorder="1" applyAlignment="1">
      <alignment horizontal="center" vertical="center" wrapText="1"/>
    </xf>
    <xf numFmtId="0" fontId="28" fillId="8" borderId="22" xfId="0" applyFont="1" applyFill="1" applyBorder="1" applyAlignment="1">
      <alignment horizontal="center" vertical="center" wrapText="1"/>
    </xf>
    <xf numFmtId="0" fontId="28" fillId="16" borderId="22" xfId="0" applyFont="1" applyFill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52" fillId="6" borderId="13" xfId="0" applyFont="1" applyFill="1" applyBorder="1" applyAlignment="1">
      <alignment horizontal="left" vertical="center"/>
    </xf>
    <xf numFmtId="0" fontId="31" fillId="6" borderId="0" xfId="0" applyFont="1" applyFill="1" applyAlignment="1">
      <alignment vertical="center"/>
    </xf>
    <xf numFmtId="0" fontId="52" fillId="6" borderId="2" xfId="0" applyFont="1" applyFill="1" applyBorder="1" applyAlignment="1">
      <alignment horizontal="left" vertical="center"/>
    </xf>
    <xf numFmtId="0" fontId="23" fillId="6" borderId="0" xfId="0" applyFont="1" applyFill="1" applyAlignment="1">
      <alignment wrapText="1"/>
    </xf>
    <xf numFmtId="0" fontId="53" fillId="0" borderId="5" xfId="0" applyFont="1" applyBorder="1" applyAlignment="1">
      <alignment horizontal="center" vertical="center" wrapText="1"/>
    </xf>
    <xf numFmtId="0" fontId="28" fillId="8" borderId="5" xfId="0" applyFont="1" applyFill="1" applyBorder="1" applyAlignment="1">
      <alignment horizontal="center" vertical="center" wrapText="1"/>
    </xf>
    <xf numFmtId="0" fontId="28" fillId="16" borderId="5" xfId="0" applyFont="1" applyFill="1" applyBorder="1" applyAlignment="1">
      <alignment horizontal="center" vertical="center" wrapText="1"/>
    </xf>
    <xf numFmtId="177" fontId="27" fillId="3" borderId="5" xfId="4" applyNumberFormat="1" applyFont="1" applyFill="1" applyBorder="1" applyAlignment="1" applyProtection="1">
      <alignment horizontal="right" vertical="center" wrapText="1"/>
    </xf>
    <xf numFmtId="177" fontId="51" fillId="3" borderId="6" xfId="4" applyNumberFormat="1" applyFont="1" applyFill="1" applyBorder="1" applyAlignment="1" applyProtection="1">
      <alignment horizontal="right" vertical="center" wrapText="1"/>
    </xf>
    <xf numFmtId="177" fontId="27" fillId="3" borderId="11" xfId="4" applyNumberFormat="1" applyFont="1" applyFill="1" applyBorder="1" applyAlignment="1" applyProtection="1">
      <alignment horizontal="right" vertical="center" wrapText="1"/>
    </xf>
    <xf numFmtId="177" fontId="51" fillId="3" borderId="10" xfId="4" applyNumberFormat="1" applyFont="1" applyFill="1" applyBorder="1" applyAlignment="1" applyProtection="1">
      <alignment horizontal="right" vertical="center" wrapText="1"/>
    </xf>
    <xf numFmtId="177" fontId="28" fillId="4" borderId="21" xfId="4" applyNumberFormat="1" applyFont="1" applyFill="1" applyBorder="1" applyAlignment="1" applyProtection="1">
      <alignment horizontal="right" vertical="center" wrapText="1"/>
    </xf>
    <xf numFmtId="177" fontId="27" fillId="3" borderId="6" xfId="4" applyNumberFormat="1" applyFont="1" applyFill="1" applyBorder="1" applyAlignment="1" applyProtection="1">
      <alignment horizontal="center" vertical="center" wrapText="1"/>
    </xf>
    <xf numFmtId="177" fontId="27" fillId="3" borderId="10" xfId="4" applyNumberFormat="1" applyFont="1" applyFill="1" applyBorder="1" applyAlignment="1" applyProtection="1">
      <alignment horizontal="center" vertical="center" wrapText="1"/>
    </xf>
    <xf numFmtId="177" fontId="28" fillId="4" borderId="21" xfId="4" applyNumberFormat="1" applyFont="1" applyFill="1" applyBorder="1" applyAlignment="1" applyProtection="1">
      <alignment horizontal="center" vertical="center" wrapText="1"/>
    </xf>
    <xf numFmtId="177" fontId="27" fillId="3" borderId="5" xfId="4" applyNumberFormat="1" applyFont="1" applyFill="1" applyBorder="1" applyAlignment="1" applyProtection="1">
      <alignment horizontal="center" vertical="center"/>
    </xf>
    <xf numFmtId="177" fontId="27" fillId="5" borderId="5" xfId="4" applyNumberFormat="1" applyFont="1" applyFill="1" applyBorder="1" applyAlignment="1" applyProtection="1">
      <alignment horizontal="center" vertical="center"/>
      <protection locked="0"/>
    </xf>
    <xf numFmtId="177" fontId="28" fillId="3" borderId="15" xfId="4" applyNumberFormat="1" applyFont="1" applyFill="1" applyBorder="1" applyAlignment="1" applyProtection="1">
      <alignment horizontal="right" vertical="center" wrapText="1"/>
    </xf>
    <xf numFmtId="9" fontId="28" fillId="3" borderId="8" xfId="3" applyFont="1" applyFill="1" applyBorder="1" applyAlignment="1" applyProtection="1">
      <alignment horizontal="center" vertical="center" wrapText="1"/>
    </xf>
    <xf numFmtId="6" fontId="27" fillId="3" borderId="1" xfId="4" applyNumberFormat="1" applyFont="1" applyFill="1" applyBorder="1" applyAlignment="1" applyProtection="1">
      <alignment horizontal="center" vertical="center" wrapText="1"/>
    </xf>
    <xf numFmtId="178" fontId="28" fillId="4" borderId="5" xfId="0" applyNumberFormat="1" applyFont="1" applyFill="1" applyBorder="1" applyAlignment="1">
      <alignment horizontal="center" vertical="center"/>
    </xf>
    <xf numFmtId="178" fontId="27" fillId="3" borderId="5" xfId="0" applyNumberFormat="1" applyFont="1" applyFill="1" applyBorder="1" applyAlignment="1">
      <alignment horizontal="center" vertical="center"/>
    </xf>
    <xf numFmtId="166" fontId="27" fillId="0" borderId="1" xfId="0" applyNumberFormat="1" applyFont="1" applyBorder="1" applyAlignment="1">
      <alignment horizontal="center" vertical="center" wrapText="1"/>
    </xf>
    <xf numFmtId="0" fontId="52" fillId="6" borderId="0" xfId="0" applyFont="1" applyFill="1" applyAlignment="1">
      <alignment vertical="center"/>
    </xf>
    <xf numFmtId="0" fontId="26" fillId="0" borderId="4" xfId="0" applyFont="1" applyBorder="1" applyAlignment="1">
      <alignment vertical="center" wrapText="1"/>
    </xf>
    <xf numFmtId="0" fontId="24" fillId="8" borderId="5" xfId="0" applyFont="1" applyFill="1" applyBorder="1" applyAlignment="1">
      <alignment horizontal="center" vertical="center" wrapText="1"/>
    </xf>
    <xf numFmtId="6" fontId="27" fillId="3" borderId="5" xfId="4" applyNumberFormat="1" applyFont="1" applyFill="1" applyBorder="1" applyAlignment="1" applyProtection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28" fillId="8" borderId="6" xfId="0" applyFont="1" applyFill="1" applyBorder="1" applyAlignment="1">
      <alignment horizontal="center" vertical="center" wrapText="1"/>
    </xf>
    <xf numFmtId="0" fontId="28" fillId="7" borderId="6" xfId="0" applyFont="1" applyFill="1" applyBorder="1" applyAlignment="1">
      <alignment horizontal="center" vertical="center" wrapText="1"/>
    </xf>
    <xf numFmtId="0" fontId="24" fillId="17" borderId="5" xfId="0" applyFont="1" applyFill="1" applyBorder="1" applyAlignment="1">
      <alignment horizontal="center" vertical="center" wrapText="1"/>
    </xf>
    <xf numFmtId="0" fontId="28" fillId="17" borderId="6" xfId="0" applyFont="1" applyFill="1" applyBorder="1" applyAlignment="1">
      <alignment horizontal="center" vertical="center" wrapText="1"/>
    </xf>
    <xf numFmtId="0" fontId="24" fillId="18" borderId="5" xfId="0" applyFont="1" applyFill="1" applyBorder="1" applyAlignment="1">
      <alignment horizontal="center" vertical="center" wrapText="1"/>
    </xf>
    <xf numFmtId="0" fontId="28" fillId="18" borderId="6" xfId="0" applyFont="1" applyFill="1" applyBorder="1" applyAlignment="1">
      <alignment horizontal="center" vertical="center" wrapText="1"/>
    </xf>
    <xf numFmtId="0" fontId="24" fillId="7" borderId="5" xfId="0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right" vertical="center" wrapText="1"/>
    </xf>
    <xf numFmtId="179" fontId="28" fillId="4" borderId="21" xfId="2" applyNumberFormat="1" applyFont="1" applyFill="1" applyBorder="1" applyAlignment="1" applyProtection="1">
      <alignment horizontal="center" vertical="center" wrapText="1"/>
    </xf>
    <xf numFmtId="179" fontId="28" fillId="3" borderId="21" xfId="2" applyNumberFormat="1" applyFont="1" applyFill="1" applyBorder="1" applyAlignment="1" applyProtection="1">
      <alignment horizontal="center" vertical="center" wrapText="1"/>
    </xf>
    <xf numFmtId="0" fontId="27" fillId="9" borderId="0" xfId="0" applyFont="1" applyFill="1" applyAlignment="1" applyProtection="1">
      <alignment horizontal="center" vertical="center"/>
      <protection hidden="1"/>
    </xf>
    <xf numFmtId="0" fontId="1" fillId="0" borderId="0" xfId="0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173" fontId="0" fillId="0" borderId="0" xfId="0" applyNumberFormat="1" applyAlignment="1">
      <alignment vertical="center"/>
    </xf>
    <xf numFmtId="0" fontId="24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173" fontId="30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5" fontId="35" fillId="0" borderId="0" xfId="2" applyFont="1" applyFill="1" applyBorder="1" applyAlignment="1" applyProtection="1">
      <alignment horizontal="left" vertical="center"/>
    </xf>
    <xf numFmtId="0" fontId="0" fillId="11" borderId="1" xfId="0" applyFill="1" applyBorder="1" applyAlignment="1">
      <alignment vertical="center"/>
    </xf>
    <xf numFmtId="0" fontId="0" fillId="11" borderId="6" xfId="0" applyFill="1" applyBorder="1" applyAlignment="1">
      <alignment vertical="center"/>
    </xf>
    <xf numFmtId="0" fontId="28" fillId="0" borderId="5" xfId="5" applyFont="1" applyBorder="1" applyAlignment="1">
      <alignment horizontal="right" vertical="center"/>
    </xf>
    <xf numFmtId="0" fontId="48" fillId="0" borderId="0" xfId="5" applyFont="1" applyAlignment="1">
      <alignment vertical="center"/>
    </xf>
    <xf numFmtId="180" fontId="27" fillId="3" borderId="5" xfId="2" applyNumberFormat="1" applyFont="1" applyFill="1" applyBorder="1" applyAlignment="1" applyProtection="1">
      <alignment horizontal="center" vertical="center"/>
    </xf>
    <xf numFmtId="0" fontId="52" fillId="6" borderId="4" xfId="0" applyFont="1" applyFill="1" applyBorder="1" applyAlignment="1">
      <alignment horizontal="left" vertical="center"/>
    </xf>
    <xf numFmtId="0" fontId="15" fillId="11" borderId="1" xfId="0" applyFont="1" applyFill="1" applyBorder="1" applyAlignment="1">
      <alignment horizontal="center" vertical="center"/>
    </xf>
    <xf numFmtId="49" fontId="44" fillId="0" borderId="0" xfId="0" applyNumberFormat="1" applyFont="1" applyAlignment="1">
      <alignment vertical="center"/>
    </xf>
    <xf numFmtId="49" fontId="42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43" fillId="11" borderId="3" xfId="2" applyNumberFormat="1" applyFont="1" applyFill="1" applyBorder="1" applyAlignment="1" applyProtection="1">
      <alignment horizontal="left" vertical="center" wrapText="1"/>
    </xf>
    <xf numFmtId="0" fontId="16" fillId="0" borderId="0" xfId="0" applyFont="1" applyAlignment="1">
      <alignment vertical="center" wrapText="1"/>
    </xf>
    <xf numFmtId="0" fontId="28" fillId="0" borderId="0" xfId="0" applyFont="1" applyAlignment="1">
      <alignment horizontal="right" vertical="center" wrapText="1"/>
    </xf>
    <xf numFmtId="0" fontId="28" fillId="0" borderId="7" xfId="0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4" fillId="0" borderId="0" xfId="1" applyFont="1" applyFill="1" applyBorder="1" applyAlignment="1" applyProtection="1">
      <alignment vertical="center" wrapText="1"/>
    </xf>
    <xf numFmtId="0" fontId="4" fillId="0" borderId="0" xfId="0" applyFont="1" applyAlignment="1">
      <alignment horizontal="right" vertical="center"/>
    </xf>
    <xf numFmtId="165" fontId="4" fillId="0" borderId="0" xfId="2" applyFont="1" applyFill="1" applyBorder="1" applyAlignment="1" applyProtection="1">
      <alignment vertical="center" wrapText="1"/>
    </xf>
    <xf numFmtId="0" fontId="2" fillId="11" borderId="1" xfId="0" applyFont="1" applyFill="1" applyBorder="1" applyAlignment="1">
      <alignment vertical="center"/>
    </xf>
    <xf numFmtId="49" fontId="4" fillId="0" borderId="0" xfId="2" applyNumberFormat="1" applyFont="1" applyFill="1" applyBorder="1" applyAlignment="1" applyProtection="1">
      <alignment vertical="center" wrapText="1"/>
    </xf>
    <xf numFmtId="49" fontId="4" fillId="0" borderId="0" xfId="0" applyNumberFormat="1" applyFont="1" applyAlignment="1">
      <alignment vertical="center"/>
    </xf>
    <xf numFmtId="0" fontId="2" fillId="0" borderId="0" xfId="0" applyFont="1" applyAlignment="1">
      <alignment wrapText="1"/>
    </xf>
    <xf numFmtId="0" fontId="59" fillId="0" borderId="0" xfId="0" applyFont="1" applyAlignment="1">
      <alignment vertical="center"/>
    </xf>
    <xf numFmtId="0" fontId="60" fillId="0" borderId="0" xfId="0" applyFont="1" applyAlignment="1">
      <alignment vertical="center"/>
    </xf>
    <xf numFmtId="167" fontId="61" fillId="0" borderId="0" xfId="3" applyNumberFormat="1" applyFont="1" applyFill="1" applyBorder="1" applyAlignment="1" applyProtection="1">
      <alignment vertical="center" wrapText="1"/>
    </xf>
    <xf numFmtId="0" fontId="57" fillId="0" borderId="0" xfId="0" applyFont="1" applyAlignment="1">
      <alignment horizontal="left" vertical="center"/>
    </xf>
    <xf numFmtId="49" fontId="62" fillId="0" borderId="0" xfId="2" applyNumberFormat="1" applyFont="1" applyFill="1" applyBorder="1" applyAlignment="1" applyProtection="1">
      <alignment horizontal="left" vertical="center"/>
    </xf>
    <xf numFmtId="176" fontId="28" fillId="0" borderId="5" xfId="2" applyNumberFormat="1" applyFont="1" applyFill="1" applyBorder="1" applyAlignment="1" applyProtection="1">
      <alignment horizontal="right" vertical="center" wrapText="1"/>
      <protection locked="0"/>
    </xf>
    <xf numFmtId="0" fontId="62" fillId="0" borderId="0" xfId="0" applyFont="1" applyAlignment="1">
      <alignment vertical="center"/>
    </xf>
    <xf numFmtId="0" fontId="62" fillId="0" borderId="0" xfId="2" applyNumberFormat="1" applyFont="1" applyFill="1" applyAlignment="1">
      <alignment vertical="center"/>
    </xf>
    <xf numFmtId="49" fontId="68" fillId="0" borderId="0" xfId="0" applyNumberFormat="1" applyFont="1" applyAlignment="1">
      <alignment horizontal="left" vertical="center"/>
    </xf>
    <xf numFmtId="0" fontId="69" fillId="0" borderId="0" xfId="0" applyFont="1" applyAlignment="1">
      <alignment vertical="center"/>
    </xf>
    <xf numFmtId="0" fontId="70" fillId="0" borderId="0" xfId="0" applyFont="1" applyAlignment="1">
      <alignment vertical="center"/>
    </xf>
    <xf numFmtId="165" fontId="71" fillId="0" borderId="0" xfId="2" applyFont="1" applyFill="1" applyBorder="1" applyAlignment="1" applyProtection="1">
      <alignment vertical="center"/>
    </xf>
    <xf numFmtId="165" fontId="62" fillId="0" borderId="0" xfId="2" applyFont="1" applyFill="1" applyBorder="1" applyAlignment="1">
      <alignment horizontal="left" vertical="top"/>
    </xf>
    <xf numFmtId="165" fontId="62" fillId="0" borderId="0" xfId="2" applyFont="1" applyFill="1" applyBorder="1" applyAlignment="1">
      <alignment wrapText="1"/>
    </xf>
    <xf numFmtId="165" fontId="62" fillId="0" borderId="0" xfId="2" applyFont="1" applyFill="1" applyBorder="1" applyAlignment="1" applyProtection="1">
      <alignment horizontal="left" vertical="center"/>
    </xf>
    <xf numFmtId="165" fontId="43" fillId="11" borderId="3" xfId="2" applyFont="1" applyFill="1" applyBorder="1" applyAlignment="1" applyProtection="1">
      <alignment horizontal="left" vertical="center" wrapText="1"/>
    </xf>
    <xf numFmtId="173" fontId="33" fillId="3" borderId="5" xfId="2" applyNumberFormat="1" applyFont="1" applyFill="1" applyBorder="1" applyAlignment="1" applyProtection="1">
      <alignment horizontal="right" vertical="center" shrinkToFit="1"/>
    </xf>
    <xf numFmtId="0" fontId="27" fillId="0" borderId="0" xfId="0" applyFont="1" applyAlignment="1" applyProtection="1">
      <alignment vertical="center"/>
      <protection hidden="1"/>
    </xf>
    <xf numFmtId="0" fontId="24" fillId="0" borderId="12" xfId="0" applyFont="1" applyBorder="1" applyAlignment="1">
      <alignment horizontal="left" vertical="center" wrapText="1"/>
    </xf>
    <xf numFmtId="0" fontId="67" fillId="0" borderId="5" xfId="0" applyFont="1" applyBorder="1" applyAlignment="1">
      <alignment horizontal="center" vertical="center" wrapText="1"/>
    </xf>
    <xf numFmtId="173" fontId="27" fillId="5" borderId="5" xfId="2" applyNumberFormat="1" applyFont="1" applyFill="1" applyBorder="1" applyAlignment="1" applyProtection="1">
      <alignment horizontal="center" vertical="center" shrinkToFit="1"/>
      <protection locked="0"/>
    </xf>
    <xf numFmtId="173" fontId="27" fillId="5" borderId="11" xfId="2" applyNumberFormat="1" applyFont="1" applyFill="1" applyBorder="1" applyAlignment="1" applyProtection="1">
      <alignment horizontal="center" vertical="center" shrinkToFit="1"/>
      <protection locked="0"/>
    </xf>
    <xf numFmtId="176" fontId="27" fillId="2" borderId="5" xfId="2" applyNumberFormat="1" applyFont="1" applyFill="1" applyBorder="1" applyAlignment="1" applyProtection="1">
      <alignment horizontal="center" vertical="center" shrinkToFit="1"/>
      <protection locked="0"/>
    </xf>
    <xf numFmtId="176" fontId="27" fillId="2" borderId="11" xfId="2" applyNumberFormat="1" applyFont="1" applyFill="1" applyBorder="1" applyAlignment="1" applyProtection="1">
      <alignment horizontal="center" vertical="center" shrinkToFit="1"/>
      <protection locked="0"/>
    </xf>
    <xf numFmtId="174" fontId="27" fillId="5" borderId="5" xfId="2" applyNumberFormat="1" applyFont="1" applyFill="1" applyBorder="1" applyAlignment="1" applyProtection="1">
      <alignment horizontal="center" vertical="center" shrinkToFit="1"/>
      <protection locked="0"/>
    </xf>
    <xf numFmtId="0" fontId="27" fillId="2" borderId="5" xfId="0" applyFont="1" applyFill="1" applyBorder="1" applyAlignment="1" applyProtection="1">
      <alignment horizontal="center" vertical="center" shrinkToFit="1"/>
      <protection locked="0"/>
    </xf>
    <xf numFmtId="180" fontId="27" fillId="5" borderId="5" xfId="2" applyNumberFormat="1" applyFont="1" applyFill="1" applyBorder="1" applyAlignment="1" applyProtection="1">
      <alignment horizontal="center" vertical="center" shrinkToFit="1"/>
      <protection locked="0"/>
    </xf>
    <xf numFmtId="180" fontId="28" fillId="4" borderId="21" xfId="2" applyNumberFormat="1" applyFont="1" applyFill="1" applyBorder="1" applyAlignment="1" applyProtection="1">
      <alignment horizontal="center" vertical="center" shrinkToFit="1"/>
    </xf>
    <xf numFmtId="177" fontId="33" fillId="3" borderId="15" xfId="7" applyNumberFormat="1" applyFont="1" applyFill="1" applyBorder="1" applyAlignment="1" applyProtection="1">
      <alignment horizontal="center" vertical="center" shrinkToFit="1"/>
    </xf>
    <xf numFmtId="0" fontId="30" fillId="0" borderId="0" xfId="0" applyFont="1" applyAlignment="1">
      <alignment vertical="center" shrinkToFit="1"/>
    </xf>
    <xf numFmtId="166" fontId="31" fillId="0" borderId="0" xfId="2" applyNumberFormat="1" applyFont="1" applyFill="1" applyBorder="1" applyAlignment="1" applyProtection="1">
      <alignment horizontal="center" vertical="center" shrinkToFit="1"/>
    </xf>
    <xf numFmtId="165" fontId="31" fillId="0" borderId="0" xfId="2" applyFont="1" applyFill="1" applyBorder="1" applyAlignment="1" applyProtection="1">
      <alignment horizontal="center" vertical="center" shrinkToFit="1"/>
    </xf>
    <xf numFmtId="37" fontId="31" fillId="0" borderId="0" xfId="2" applyNumberFormat="1" applyFont="1" applyFill="1" applyBorder="1" applyAlignment="1" applyProtection="1">
      <alignment horizontal="center" vertical="center" shrinkToFit="1"/>
    </xf>
    <xf numFmtId="0" fontId="30" fillId="0" borderId="0" xfId="0" applyFont="1" applyAlignment="1">
      <alignment horizontal="center" vertical="center" shrinkToFit="1"/>
    </xf>
    <xf numFmtId="165" fontId="8" fillId="0" borderId="0" xfId="2" applyFont="1" applyFill="1" applyBorder="1" applyAlignment="1" applyProtection="1">
      <alignment horizontal="left" vertical="center" shrinkToFit="1"/>
    </xf>
    <xf numFmtId="0" fontId="0" fillId="0" borderId="0" xfId="0" applyAlignment="1">
      <alignment shrinkToFit="1"/>
    </xf>
    <xf numFmtId="5" fontId="28" fillId="2" borderId="5" xfId="2" applyNumberFormat="1" applyFont="1" applyFill="1" applyBorder="1" applyAlignment="1" applyProtection="1">
      <alignment horizontal="center" vertical="center" shrinkToFit="1"/>
      <protection locked="0"/>
    </xf>
    <xf numFmtId="180" fontId="27" fillId="3" borderId="5" xfId="2" applyNumberFormat="1" applyFont="1" applyFill="1" applyBorder="1" applyAlignment="1" applyProtection="1">
      <alignment horizontal="center" vertical="center" shrinkToFit="1"/>
    </xf>
    <xf numFmtId="173" fontId="27" fillId="3" borderId="5" xfId="2" applyNumberFormat="1" applyFont="1" applyFill="1" applyBorder="1" applyAlignment="1" applyProtection="1">
      <alignment horizontal="center" vertical="center" shrinkToFit="1"/>
    </xf>
    <xf numFmtId="173" fontId="28" fillId="4" borderId="21" xfId="2" applyNumberFormat="1" applyFont="1" applyFill="1" applyBorder="1" applyAlignment="1" applyProtection="1">
      <alignment horizontal="center" vertical="center" shrinkToFit="1"/>
    </xf>
    <xf numFmtId="49" fontId="75" fillId="0" borderId="0" xfId="2" applyNumberFormat="1" applyFont="1" applyFill="1" applyBorder="1" applyAlignment="1" applyProtection="1">
      <alignment horizontal="left" vertical="center"/>
    </xf>
    <xf numFmtId="0" fontId="17" fillId="6" borderId="0" xfId="0" applyFont="1" applyFill="1" applyAlignment="1">
      <alignment vertical="center"/>
    </xf>
    <xf numFmtId="0" fontId="24" fillId="0" borderId="5" xfId="0" applyFont="1" applyBorder="1" applyAlignment="1" applyProtection="1">
      <alignment horizontal="center" vertical="center" wrapText="1"/>
      <protection hidden="1"/>
    </xf>
    <xf numFmtId="0" fontId="24" fillId="0" borderId="5" xfId="5" applyFont="1" applyBorder="1" applyAlignment="1" applyProtection="1">
      <alignment horizontal="center" vertical="center" wrapText="1"/>
      <protection hidden="1"/>
    </xf>
    <xf numFmtId="0" fontId="28" fillId="8" borderId="5" xfId="5" applyFont="1" applyFill="1" applyBorder="1" applyAlignment="1" applyProtection="1">
      <alignment horizontal="center" vertical="center" wrapText="1"/>
      <protection hidden="1"/>
    </xf>
    <xf numFmtId="0" fontId="28" fillId="16" borderId="5" xfId="5" applyFont="1" applyFill="1" applyBorder="1" applyAlignment="1" applyProtection="1">
      <alignment horizontal="center" vertical="center" wrapText="1"/>
      <protection hidden="1"/>
    </xf>
    <xf numFmtId="0" fontId="39" fillId="0" borderId="13" xfId="0" applyFont="1" applyBorder="1" applyAlignment="1" applyProtection="1">
      <alignment horizontal="center" vertical="center" wrapText="1"/>
      <protection hidden="1"/>
    </xf>
    <xf numFmtId="49" fontId="28" fillId="3" borderId="5" xfId="5" applyNumberFormat="1" applyFont="1" applyFill="1" applyBorder="1" applyAlignment="1" applyProtection="1">
      <alignment horizontal="center" vertical="center" shrinkToFit="1"/>
      <protection hidden="1"/>
    </xf>
    <xf numFmtId="180" fontId="27" fillId="3" borderId="5" xfId="4" applyNumberFormat="1" applyFont="1" applyFill="1" applyBorder="1" applyAlignment="1" applyProtection="1">
      <alignment horizontal="right" vertical="center" shrinkToFit="1"/>
      <protection hidden="1"/>
    </xf>
    <xf numFmtId="180" fontId="27" fillId="3" borderId="5" xfId="2" applyNumberFormat="1" applyFont="1" applyFill="1" applyBorder="1" applyAlignment="1" applyProtection="1">
      <alignment horizontal="center" vertical="center" shrinkToFit="1"/>
      <protection hidden="1"/>
    </xf>
    <xf numFmtId="173" fontId="27" fillId="3" borderId="5" xfId="2" applyNumberFormat="1" applyFont="1" applyFill="1" applyBorder="1" applyAlignment="1" applyProtection="1">
      <alignment horizontal="center" vertical="center" shrinkToFit="1"/>
      <protection hidden="1"/>
    </xf>
    <xf numFmtId="173" fontId="27" fillId="3" borderId="11" xfId="2" applyNumberFormat="1" applyFont="1" applyFill="1" applyBorder="1" applyAlignment="1" applyProtection="1">
      <alignment horizontal="right" vertical="center" shrinkToFit="1"/>
      <protection hidden="1"/>
    </xf>
    <xf numFmtId="0" fontId="24" fillId="0" borderId="13" xfId="0" applyFont="1" applyBorder="1" applyAlignment="1" applyProtection="1">
      <alignment horizontal="center" vertical="center" wrapText="1"/>
      <protection hidden="1"/>
    </xf>
    <xf numFmtId="49" fontId="27" fillId="3" borderId="5" xfId="0" applyNumberFormat="1" applyFont="1" applyFill="1" applyBorder="1" applyAlignment="1" applyProtection="1">
      <alignment horizontal="center" vertical="center" shrinkToFit="1"/>
      <protection hidden="1"/>
    </xf>
    <xf numFmtId="180" fontId="27" fillId="3" borderId="6" xfId="2" applyNumberFormat="1" applyFont="1" applyFill="1" applyBorder="1" applyAlignment="1" applyProtection="1">
      <alignment horizontal="center" vertical="center" shrinkToFit="1"/>
      <protection hidden="1"/>
    </xf>
    <xf numFmtId="173" fontId="27" fillId="3" borderId="22" xfId="2" applyNumberFormat="1" applyFont="1" applyFill="1" applyBorder="1" applyAlignment="1" applyProtection="1">
      <alignment horizontal="right" vertical="center" shrinkToFit="1"/>
      <protection hidden="1"/>
    </xf>
    <xf numFmtId="0" fontId="24" fillId="0" borderId="3" xfId="0" applyFont="1" applyBorder="1" applyAlignment="1" applyProtection="1">
      <alignment horizontal="center" vertical="center" wrapText="1"/>
      <protection hidden="1"/>
    </xf>
    <xf numFmtId="49" fontId="27" fillId="3" borderId="11" xfId="0" applyNumberFormat="1" applyFont="1" applyFill="1" applyBorder="1" applyAlignment="1" applyProtection="1">
      <alignment horizontal="center" vertical="center" shrinkToFit="1"/>
      <protection hidden="1"/>
    </xf>
    <xf numFmtId="180" fontId="27" fillId="3" borderId="11" xfId="4" applyNumberFormat="1" applyFont="1" applyFill="1" applyBorder="1" applyAlignment="1" applyProtection="1">
      <alignment horizontal="right" vertical="center" shrinkToFit="1"/>
      <protection hidden="1"/>
    </xf>
    <xf numFmtId="180" fontId="27" fillId="3" borderId="10" xfId="2" applyNumberFormat="1" applyFont="1" applyFill="1" applyBorder="1" applyAlignment="1" applyProtection="1">
      <alignment horizontal="center" vertical="center" shrinkToFit="1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28" fillId="0" borderId="19" xfId="0" applyFont="1" applyBorder="1" applyAlignment="1" applyProtection="1">
      <alignment horizontal="right" vertical="center" shrinkToFit="1"/>
      <protection hidden="1"/>
    </xf>
    <xf numFmtId="180" fontId="28" fillId="20" borderId="21" xfId="4" applyNumberFormat="1" applyFont="1" applyFill="1" applyBorder="1" applyAlignment="1" applyProtection="1">
      <alignment horizontal="right" vertical="center" shrinkToFit="1"/>
      <protection hidden="1"/>
    </xf>
    <xf numFmtId="180" fontId="28" fillId="20" borderId="21" xfId="2" applyNumberFormat="1" applyFont="1" applyFill="1" applyBorder="1" applyAlignment="1" applyProtection="1">
      <alignment horizontal="center" vertical="center" shrinkToFit="1"/>
      <protection hidden="1"/>
    </xf>
    <xf numFmtId="180" fontId="28" fillId="3" borderId="5" xfId="4" applyNumberFormat="1" applyFont="1" applyFill="1" applyBorder="1" applyAlignment="1" applyProtection="1">
      <alignment horizontal="right" vertical="center" shrinkToFit="1"/>
      <protection hidden="1"/>
    </xf>
    <xf numFmtId="180" fontId="28" fillId="3" borderId="15" xfId="2" applyNumberFormat="1" applyFont="1" applyFill="1" applyBorder="1" applyAlignment="1" applyProtection="1">
      <alignment horizontal="right" vertical="center" shrinkToFit="1"/>
      <protection hidden="1"/>
    </xf>
    <xf numFmtId="0" fontId="30" fillId="0" borderId="0" xfId="0" applyFont="1" applyAlignment="1" applyProtection="1">
      <alignment vertical="center"/>
      <protection hidden="1"/>
    </xf>
    <xf numFmtId="0" fontId="31" fillId="0" borderId="0" xfId="0" applyFont="1" applyAlignment="1" applyProtection="1">
      <alignment vertical="center"/>
      <protection hidden="1"/>
    </xf>
    <xf numFmtId="0" fontId="28" fillId="0" borderId="19" xfId="0" applyFont="1" applyBorder="1" applyAlignment="1" applyProtection="1">
      <alignment horizontal="right" vertical="center" wrapText="1"/>
      <protection hidden="1"/>
    </xf>
    <xf numFmtId="167" fontId="36" fillId="0" borderId="0" xfId="3" applyNumberFormat="1" applyFont="1" applyFill="1" applyBorder="1" applyAlignment="1" applyProtection="1">
      <alignment vertical="center"/>
      <protection hidden="1"/>
    </xf>
    <xf numFmtId="167" fontId="36" fillId="0" borderId="0" xfId="3" applyNumberFormat="1" applyFont="1" applyFill="1" applyBorder="1" applyAlignment="1" applyProtection="1">
      <alignment vertical="center" wrapText="1"/>
      <protection hidden="1"/>
    </xf>
    <xf numFmtId="0" fontId="28" fillId="0" borderId="3" xfId="0" applyFont="1" applyBorder="1" applyAlignment="1" applyProtection="1">
      <alignment horizontal="center" vertical="center" wrapText="1"/>
      <protection hidden="1"/>
    </xf>
    <xf numFmtId="173" fontId="27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28" fillId="0" borderId="1" xfId="0" applyFont="1" applyBorder="1" applyAlignment="1" applyProtection="1">
      <alignment horizontal="center" vertical="center" wrapText="1"/>
      <protection hidden="1"/>
    </xf>
    <xf numFmtId="0" fontId="27" fillId="3" borderId="1" xfId="0" applyFont="1" applyFill="1" applyBorder="1" applyAlignment="1" applyProtection="1">
      <alignment horizontal="center" vertical="center" wrapText="1"/>
      <protection hidden="1"/>
    </xf>
    <xf numFmtId="180" fontId="27" fillId="3" borderId="1" xfId="0" applyNumberFormat="1" applyFont="1" applyFill="1" applyBorder="1" applyAlignment="1" applyProtection="1">
      <alignment horizontal="center" vertical="center" shrinkToFit="1"/>
      <protection hidden="1"/>
    </xf>
    <xf numFmtId="178" fontId="28" fillId="20" borderId="5" xfId="0" applyNumberFormat="1" applyFont="1" applyFill="1" applyBorder="1" applyAlignment="1" applyProtection="1">
      <alignment horizontal="center" vertical="center"/>
      <protection hidden="1"/>
    </xf>
    <xf numFmtId="169" fontId="28" fillId="0" borderId="2" xfId="0" applyNumberFormat="1" applyFont="1" applyBorder="1" applyAlignment="1" applyProtection="1">
      <alignment horizontal="center" vertical="center" wrapText="1"/>
      <protection hidden="1"/>
    </xf>
    <xf numFmtId="166" fontId="27" fillId="0" borderId="0" xfId="0" applyNumberFormat="1" applyFont="1" applyAlignment="1" applyProtection="1">
      <alignment horizontal="center" vertical="center" wrapText="1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8" fillId="0" borderId="0" xfId="0" applyFont="1" applyAlignment="1" applyProtection="1">
      <alignment horizontal="center" vertical="center" wrapText="1"/>
      <protection hidden="1"/>
    </xf>
    <xf numFmtId="166" fontId="27" fillId="0" borderId="0" xfId="0" applyNumberFormat="1" applyFont="1" applyAlignment="1" applyProtection="1">
      <alignment horizontal="center" vertical="center" wrapText="1" shrinkToFit="1"/>
      <protection hidden="1"/>
    </xf>
    <xf numFmtId="0" fontId="27" fillId="0" borderId="7" xfId="0" applyFont="1" applyBorder="1" applyAlignment="1" applyProtection="1">
      <alignment horizontal="center" vertical="center"/>
      <protection hidden="1"/>
    </xf>
    <xf numFmtId="1" fontId="27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27" fillId="0" borderId="1" xfId="0" applyFont="1" applyBorder="1" applyAlignment="1" applyProtection="1">
      <alignment horizontal="center" vertical="center"/>
      <protection hidden="1"/>
    </xf>
    <xf numFmtId="0" fontId="27" fillId="0" borderId="6" xfId="0" applyFont="1" applyBorder="1" applyAlignment="1" applyProtection="1">
      <alignment horizontal="center" vertical="center"/>
      <protection hidden="1"/>
    </xf>
    <xf numFmtId="169" fontId="28" fillId="0" borderId="13" xfId="0" applyNumberFormat="1" applyFont="1" applyBorder="1" applyAlignment="1" applyProtection="1">
      <alignment horizontal="center" vertical="center" wrapText="1"/>
      <protection hidden="1"/>
    </xf>
    <xf numFmtId="166" fontId="27" fillId="0" borderId="4" xfId="0" applyNumberFormat="1" applyFont="1" applyBorder="1" applyAlignment="1" applyProtection="1">
      <alignment horizontal="center" vertical="center" wrapText="1"/>
      <protection hidden="1"/>
    </xf>
    <xf numFmtId="0" fontId="27" fillId="0" borderId="4" xfId="0" applyFont="1" applyBorder="1" applyAlignment="1" applyProtection="1">
      <alignment horizontal="center" vertical="center" wrapText="1"/>
      <protection hidden="1"/>
    </xf>
    <xf numFmtId="0" fontId="28" fillId="0" borderId="4" xfId="0" applyFont="1" applyBorder="1" applyAlignment="1" applyProtection="1">
      <alignment horizontal="center" vertical="center" wrapText="1"/>
      <protection hidden="1"/>
    </xf>
    <xf numFmtId="0" fontId="24" fillId="8" borderId="5" xfId="5" applyFont="1" applyFill="1" applyBorder="1" applyAlignment="1" applyProtection="1">
      <alignment horizontal="center" vertical="center" wrapText="1"/>
      <protection hidden="1"/>
    </xf>
    <xf numFmtId="0" fontId="28" fillId="12" borderId="5" xfId="5" applyFont="1" applyFill="1" applyBorder="1" applyAlignment="1" applyProtection="1">
      <alignment horizontal="center" vertical="center" wrapText="1"/>
      <protection hidden="1"/>
    </xf>
    <xf numFmtId="0" fontId="28" fillId="8" borderId="5" xfId="0" applyFont="1" applyFill="1" applyBorder="1" applyAlignment="1" applyProtection="1">
      <alignment horizontal="center" vertical="center" wrapText="1"/>
      <protection hidden="1"/>
    </xf>
    <xf numFmtId="0" fontId="24" fillId="21" borderId="5" xfId="0" applyFont="1" applyFill="1" applyBorder="1" applyAlignment="1" applyProtection="1">
      <alignment horizontal="center" vertical="center" wrapText="1"/>
      <protection hidden="1"/>
    </xf>
    <xf numFmtId="0" fontId="24" fillId="11" borderId="3" xfId="5" applyFont="1" applyFill="1" applyBorder="1" applyAlignment="1" applyProtection="1">
      <alignment horizontal="left" vertical="center"/>
      <protection hidden="1"/>
    </xf>
    <xf numFmtId="0" fontId="0" fillId="11" borderId="0" xfId="0" applyFill="1" applyProtection="1">
      <protection hidden="1"/>
    </xf>
    <xf numFmtId="0" fontId="33" fillId="0" borderId="5" xfId="5" applyFont="1" applyBorder="1" applyAlignment="1" applyProtection="1">
      <alignment horizontal="center" vertical="center" wrapText="1"/>
      <protection hidden="1"/>
    </xf>
    <xf numFmtId="9" fontId="33" fillId="0" borderId="5" xfId="0" applyNumberFormat="1" applyFont="1" applyBorder="1" applyAlignment="1" applyProtection="1">
      <alignment horizontal="center" vertical="center" wrapText="1"/>
      <protection hidden="1"/>
    </xf>
    <xf numFmtId="181" fontId="33" fillId="3" borderId="5" xfId="2" applyNumberFormat="1" applyFont="1" applyFill="1" applyBorder="1" applyAlignment="1" applyProtection="1">
      <alignment horizontal="center" vertical="center" shrinkToFit="1"/>
      <protection hidden="1"/>
    </xf>
    <xf numFmtId="173" fontId="33" fillId="3" borderId="5" xfId="2" applyNumberFormat="1" applyFont="1" applyFill="1" applyBorder="1" applyAlignment="1" applyProtection="1">
      <alignment horizontal="center" vertical="center" shrinkToFit="1"/>
      <protection hidden="1"/>
    </xf>
    <xf numFmtId="181" fontId="33" fillId="21" borderId="5" xfId="2" applyNumberFormat="1" applyFont="1" applyFill="1" applyBorder="1" applyAlignment="1" applyProtection="1">
      <alignment horizontal="center" vertical="center" shrinkToFit="1"/>
      <protection hidden="1"/>
    </xf>
    <xf numFmtId="0" fontId="27" fillId="0" borderId="5" xfId="5" applyFont="1" applyBorder="1" applyAlignment="1" applyProtection="1">
      <alignment horizontal="center" vertical="center" wrapText="1"/>
      <protection hidden="1"/>
    </xf>
    <xf numFmtId="9" fontId="27" fillId="0" borderId="5" xfId="0" applyNumberFormat="1" applyFont="1" applyBorder="1" applyAlignment="1" applyProtection="1">
      <alignment horizontal="center" vertical="center" wrapText="1"/>
      <protection hidden="1"/>
    </xf>
    <xf numFmtId="0" fontId="33" fillId="0" borderId="0" xfId="0" applyFont="1" applyAlignment="1" applyProtection="1">
      <alignment horizontal="left" vertical="center" wrapText="1"/>
      <protection hidden="1"/>
    </xf>
    <xf numFmtId="0" fontId="24" fillId="0" borderId="15" xfId="0" applyFont="1" applyBorder="1" applyAlignment="1" applyProtection="1">
      <alignment horizontal="center" vertical="center" wrapText="1"/>
      <protection hidden="1"/>
    </xf>
    <xf numFmtId="0" fontId="28" fillId="0" borderId="0" xfId="0" applyFont="1" applyAlignment="1" applyProtection="1">
      <alignment vertical="center"/>
      <protection hidden="1"/>
    </xf>
    <xf numFmtId="0" fontId="28" fillId="12" borderId="5" xfId="0" applyFont="1" applyFill="1" applyBorder="1" applyAlignment="1" applyProtection="1">
      <alignment horizontal="center" vertical="center" wrapText="1"/>
      <protection hidden="1"/>
    </xf>
    <xf numFmtId="0" fontId="28" fillId="15" borderId="5" xfId="0" applyFont="1" applyFill="1" applyBorder="1" applyAlignment="1" applyProtection="1">
      <alignment horizontal="center" vertical="center" wrapText="1"/>
      <protection hidden="1"/>
    </xf>
    <xf numFmtId="0" fontId="24" fillId="13" borderId="5" xfId="0" applyFont="1" applyFill="1" applyBorder="1" applyAlignment="1" applyProtection="1">
      <alignment horizontal="center" vertical="center" wrapText="1"/>
      <protection hidden="1"/>
    </xf>
    <xf numFmtId="0" fontId="24" fillId="14" borderId="5" xfId="0" applyFont="1" applyFill="1" applyBorder="1" applyAlignment="1" applyProtection="1">
      <alignment horizontal="center" vertical="center" wrapText="1"/>
      <protection hidden="1"/>
    </xf>
    <xf numFmtId="0" fontId="28" fillId="14" borderId="6" xfId="5" applyFont="1" applyFill="1" applyBorder="1" applyAlignment="1" applyProtection="1">
      <alignment horizontal="center" vertical="center" wrapText="1"/>
      <protection hidden="1"/>
    </xf>
    <xf numFmtId="166" fontId="24" fillId="11" borderId="3" xfId="2" applyNumberFormat="1" applyFont="1" applyFill="1" applyBorder="1" applyAlignment="1" applyProtection="1">
      <alignment horizontal="center" vertical="center" wrapText="1"/>
      <protection hidden="1"/>
    </xf>
    <xf numFmtId="0" fontId="33" fillId="11" borderId="1" xfId="0" applyFont="1" applyFill="1" applyBorder="1" applyAlignment="1" applyProtection="1">
      <alignment horizontal="center" vertical="center" wrapText="1"/>
      <protection hidden="1"/>
    </xf>
    <xf numFmtId="0" fontId="33" fillId="11" borderId="6" xfId="0" applyFont="1" applyFill="1" applyBorder="1" applyAlignment="1" applyProtection="1">
      <alignment horizontal="center" vertical="center" wrapText="1"/>
      <protection hidden="1"/>
    </xf>
    <xf numFmtId="0" fontId="24" fillId="11" borderId="3" xfId="0" applyFont="1" applyFill="1" applyBorder="1" applyAlignment="1" applyProtection="1">
      <alignment vertical="center" wrapText="1"/>
      <protection hidden="1"/>
    </xf>
    <xf numFmtId="0" fontId="24" fillId="11" borderId="1" xfId="0" applyFont="1" applyFill="1" applyBorder="1" applyAlignment="1" applyProtection="1">
      <alignment vertical="center" wrapText="1"/>
      <protection hidden="1"/>
    </xf>
    <xf numFmtId="0" fontId="24" fillId="11" borderId="6" xfId="0" applyFont="1" applyFill="1" applyBorder="1" applyAlignment="1" applyProtection="1">
      <alignment vertical="center" wrapText="1"/>
      <protection hidden="1"/>
    </xf>
    <xf numFmtId="0" fontId="27" fillId="0" borderId="5" xfId="0" applyFont="1" applyBorder="1" applyAlignment="1" applyProtection="1">
      <alignment horizontal="center" vertical="center" wrapText="1"/>
      <protection hidden="1"/>
    </xf>
    <xf numFmtId="0" fontId="33" fillId="0" borderId="5" xfId="0" applyFont="1" applyBorder="1" applyAlignment="1" applyProtection="1">
      <alignment horizontal="center" vertical="center" wrapText="1"/>
      <protection hidden="1"/>
    </xf>
    <xf numFmtId="181" fontId="33" fillId="3" borderId="8" xfId="2" applyNumberFormat="1" applyFont="1" applyFill="1" applyBorder="1" applyAlignment="1" applyProtection="1">
      <alignment horizontal="center" vertical="center" shrinkToFit="1"/>
      <protection hidden="1"/>
    </xf>
    <xf numFmtId="37" fontId="27" fillId="3" borderId="8" xfId="2" applyNumberFormat="1" applyFont="1" applyFill="1" applyBorder="1" applyAlignment="1" applyProtection="1">
      <alignment horizontal="center" vertical="center" shrinkToFit="1"/>
      <protection hidden="1"/>
    </xf>
    <xf numFmtId="181" fontId="27" fillId="3" borderId="5" xfId="2" applyNumberFormat="1" applyFont="1" applyFill="1" applyBorder="1" applyAlignment="1" applyProtection="1">
      <alignment horizontal="center" vertical="center" shrinkToFit="1"/>
      <protection hidden="1"/>
    </xf>
    <xf numFmtId="0" fontId="17" fillId="6" borderId="0" xfId="0" applyFont="1" applyFill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vertical="center"/>
      <protection hidden="1"/>
    </xf>
    <xf numFmtId="171" fontId="29" fillId="0" borderId="0" xfId="0" applyNumberFormat="1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171" fontId="30" fillId="0" borderId="0" xfId="0" applyNumberFormat="1" applyFont="1" applyAlignment="1" applyProtection="1">
      <alignment vertical="center"/>
      <protection hidden="1"/>
    </xf>
    <xf numFmtId="0" fontId="25" fillId="0" borderId="0" xfId="0" applyFont="1" applyAlignment="1" applyProtection="1">
      <alignment vertical="center"/>
      <protection hidden="1"/>
    </xf>
    <xf numFmtId="173" fontId="30" fillId="0" borderId="0" xfId="0" applyNumberFormat="1" applyFont="1" applyAlignment="1" applyProtection="1">
      <alignment vertical="center"/>
      <protection hidden="1"/>
    </xf>
    <xf numFmtId="173" fontId="27" fillId="3" borderId="5" xfId="2" applyNumberFormat="1" applyFont="1" applyFill="1" applyBorder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vertical="center"/>
      <protection hidden="1"/>
    </xf>
    <xf numFmtId="0" fontId="38" fillId="0" borderId="0" xfId="0" applyFont="1" applyAlignment="1" applyProtection="1">
      <alignment vertical="center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46" fillId="0" borderId="0" xfId="0" applyFont="1" applyAlignment="1" applyProtection="1">
      <alignment horizontal="right" vertical="center"/>
      <protection hidden="1"/>
    </xf>
    <xf numFmtId="0" fontId="35" fillId="3" borderId="5" xfId="0" applyFont="1" applyFill="1" applyBorder="1" applyAlignment="1" applyProtection="1">
      <alignment horizontal="center" vertical="center" wrapText="1"/>
      <protection hidden="1"/>
    </xf>
    <xf numFmtId="0" fontId="31" fillId="0" borderId="0" xfId="0" applyFont="1" applyAlignment="1" applyProtection="1">
      <alignment vertical="center" wrapText="1"/>
      <protection hidden="1"/>
    </xf>
    <xf numFmtId="0" fontId="52" fillId="6" borderId="4" xfId="5" applyFont="1" applyFill="1" applyBorder="1" applyAlignment="1" applyProtection="1">
      <alignment horizontal="left" vertical="center"/>
      <protection hidden="1"/>
    </xf>
    <xf numFmtId="0" fontId="31" fillId="6" borderId="4" xfId="0" applyFont="1" applyFill="1" applyBorder="1" applyAlignment="1" applyProtection="1">
      <alignment horizontal="right" vertical="center" wrapText="1"/>
      <protection hidden="1"/>
    </xf>
    <xf numFmtId="165" fontId="31" fillId="6" borderId="4" xfId="2" applyFont="1" applyFill="1" applyBorder="1" applyAlignment="1" applyProtection="1">
      <alignment horizontal="right" vertical="center" wrapText="1"/>
      <protection hidden="1"/>
    </xf>
    <xf numFmtId="165" fontId="31" fillId="6" borderId="4" xfId="2" applyFont="1" applyFill="1" applyBorder="1" applyAlignment="1" applyProtection="1">
      <alignment vertical="center" wrapText="1"/>
      <protection hidden="1"/>
    </xf>
    <xf numFmtId="0" fontId="30" fillId="0" borderId="4" xfId="0" applyFont="1" applyBorder="1" applyAlignment="1" applyProtection="1">
      <alignment vertical="center"/>
      <protection hidden="1"/>
    </xf>
    <xf numFmtId="0" fontId="28" fillId="0" borderId="5" xfId="0" applyFont="1" applyBorder="1" applyAlignment="1" applyProtection="1">
      <alignment horizontal="center" vertical="center" wrapText="1"/>
      <protection hidden="1"/>
    </xf>
    <xf numFmtId="0" fontId="28" fillId="0" borderId="11" xfId="0" applyFont="1" applyBorder="1" applyAlignment="1" applyProtection="1">
      <alignment horizontal="center" vertical="center" wrapText="1"/>
      <protection hidden="1"/>
    </xf>
    <xf numFmtId="0" fontId="24" fillId="0" borderId="0" xfId="0" applyFont="1" applyAlignment="1" applyProtection="1">
      <alignment vertical="center"/>
      <protection hidden="1"/>
    </xf>
    <xf numFmtId="0" fontId="27" fillId="3" borderId="5" xfId="0" applyFont="1" applyFill="1" applyBorder="1" applyAlignment="1" applyProtection="1">
      <alignment horizontal="center" vertical="center" wrapText="1"/>
      <protection hidden="1"/>
    </xf>
    <xf numFmtId="1" fontId="27" fillId="3" borderId="5" xfId="0" applyNumberFormat="1" applyFont="1" applyFill="1" applyBorder="1" applyAlignment="1" applyProtection="1">
      <alignment horizontal="center" vertical="center" wrapText="1"/>
      <protection hidden="1"/>
    </xf>
    <xf numFmtId="168" fontId="27" fillId="3" borderId="5" xfId="0" applyNumberFormat="1" applyFont="1" applyFill="1" applyBorder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vertical="center"/>
      <protection hidden="1"/>
    </xf>
    <xf numFmtId="49" fontId="27" fillId="2" borderId="5" xfId="2" applyNumberFormat="1" applyFont="1" applyFill="1" applyBorder="1" applyAlignment="1" applyProtection="1">
      <alignment horizontal="center" vertical="center" wrapText="1"/>
      <protection locked="0" hidden="1"/>
    </xf>
    <xf numFmtId="180" fontId="27" fillId="5" borderId="5" xfId="2" applyNumberFormat="1" applyFont="1" applyFill="1" applyBorder="1" applyAlignment="1" applyProtection="1">
      <alignment horizontal="center" vertical="center" shrinkToFit="1"/>
      <protection locked="0" hidden="1"/>
    </xf>
    <xf numFmtId="5" fontId="27" fillId="22" borderId="5" xfId="2" applyNumberFormat="1" applyFont="1" applyFill="1" applyBorder="1" applyAlignment="1" applyProtection="1">
      <alignment horizontal="center" vertical="center" shrinkToFit="1"/>
      <protection hidden="1"/>
    </xf>
    <xf numFmtId="174" fontId="27" fillId="5" borderId="5" xfId="2" applyNumberFormat="1" applyFont="1" applyFill="1" applyBorder="1" applyAlignment="1" applyProtection="1">
      <alignment horizontal="center" vertical="center" shrinkToFit="1"/>
      <protection locked="0" hidden="1"/>
    </xf>
    <xf numFmtId="178" fontId="27" fillId="3" borderId="5" xfId="0" applyNumberFormat="1" applyFont="1" applyFill="1" applyBorder="1" applyAlignment="1" applyProtection="1">
      <alignment horizontal="center" vertical="center" shrinkToFit="1"/>
      <protection hidden="1"/>
    </xf>
    <xf numFmtId="0" fontId="27" fillId="2" borderId="5" xfId="0" applyFont="1" applyFill="1" applyBorder="1" applyAlignment="1" applyProtection="1">
      <alignment horizontal="center" vertical="center" shrinkToFit="1"/>
      <protection locked="0" hidden="1"/>
    </xf>
    <xf numFmtId="180" fontId="27" fillId="2" borderId="5" xfId="2" applyNumberFormat="1" applyFont="1" applyFill="1" applyBorder="1" applyAlignment="1" applyProtection="1">
      <alignment horizontal="center" vertical="center" shrinkToFit="1"/>
      <protection locked="0" hidden="1"/>
    </xf>
    <xf numFmtId="180" fontId="27" fillId="2" borderId="5" xfId="0" applyNumberFormat="1" applyFont="1" applyFill="1" applyBorder="1" applyAlignment="1" applyProtection="1">
      <alignment horizontal="center" vertical="center" shrinkToFit="1"/>
      <protection locked="0" hidden="1"/>
    </xf>
    <xf numFmtId="49" fontId="27" fillId="2" borderId="11" xfId="2" applyNumberFormat="1" applyFont="1" applyFill="1" applyBorder="1" applyAlignment="1" applyProtection="1">
      <alignment horizontal="center" vertical="center" wrapText="1"/>
      <protection locked="0" hidden="1"/>
    </xf>
    <xf numFmtId="180" fontId="27" fillId="5" borderId="11" xfId="2" applyNumberFormat="1" applyFont="1" applyFill="1" applyBorder="1" applyAlignment="1" applyProtection="1">
      <alignment horizontal="center" vertical="center" shrinkToFit="1"/>
      <protection locked="0" hidden="1"/>
    </xf>
    <xf numFmtId="172" fontId="27" fillId="3" borderId="5" xfId="2" applyNumberFormat="1" applyFont="1" applyFill="1" applyBorder="1" applyAlignment="1" applyProtection="1">
      <alignment horizontal="center" vertical="center" wrapText="1"/>
      <protection hidden="1"/>
    </xf>
    <xf numFmtId="0" fontId="55" fillId="0" borderId="0" xfId="0" applyFont="1" applyAlignment="1" applyProtection="1">
      <alignment vertical="center"/>
      <protection hidden="1"/>
    </xf>
    <xf numFmtId="168" fontId="27" fillId="3" borderId="5" xfId="0" applyNumberFormat="1" applyFont="1" applyFill="1" applyBorder="1" applyAlignment="1" applyProtection="1">
      <alignment horizontal="center" vertical="center" shrinkToFit="1"/>
      <protection hidden="1"/>
    </xf>
    <xf numFmtId="5" fontId="27" fillId="11" borderId="3" xfId="2" applyNumberFormat="1" applyFont="1" applyFill="1" applyBorder="1" applyAlignment="1" applyProtection="1">
      <alignment horizontal="center" vertical="center"/>
      <protection hidden="1"/>
    </xf>
    <xf numFmtId="5" fontId="27" fillId="11" borderId="1" xfId="2" applyNumberFormat="1" applyFont="1" applyFill="1" applyBorder="1" applyAlignment="1" applyProtection="1">
      <alignment horizontal="center" vertical="center"/>
      <protection hidden="1"/>
    </xf>
    <xf numFmtId="5" fontId="27" fillId="11" borderId="6" xfId="2" applyNumberFormat="1" applyFont="1" applyFill="1" applyBorder="1" applyAlignment="1" applyProtection="1">
      <alignment horizontal="center" vertical="center"/>
      <protection hidden="1"/>
    </xf>
    <xf numFmtId="0" fontId="28" fillId="0" borderId="8" xfId="0" applyFont="1" applyBorder="1" applyAlignment="1" applyProtection="1">
      <alignment horizontal="center" vertical="center" wrapText="1"/>
      <protection hidden="1"/>
    </xf>
    <xf numFmtId="0" fontId="28" fillId="12" borderId="8" xfId="0" applyFont="1" applyFill="1" applyBorder="1" applyAlignment="1" applyProtection="1">
      <alignment horizontal="center" vertical="center" wrapText="1"/>
      <protection hidden="1"/>
    </xf>
    <xf numFmtId="0" fontId="28" fillId="16" borderId="8" xfId="0" applyFont="1" applyFill="1" applyBorder="1" applyAlignment="1" applyProtection="1">
      <alignment horizontal="center" vertical="center" wrapText="1"/>
      <protection hidden="1"/>
    </xf>
    <xf numFmtId="0" fontId="28" fillId="16" borderId="5" xfId="0" applyFont="1" applyFill="1" applyBorder="1" applyAlignment="1" applyProtection="1">
      <alignment horizontal="center" vertical="center" wrapText="1"/>
      <protection hidden="1"/>
    </xf>
    <xf numFmtId="49" fontId="28" fillId="3" borderId="5" xfId="0" applyNumberFormat="1" applyFont="1" applyFill="1" applyBorder="1" applyAlignment="1" applyProtection="1">
      <alignment horizontal="center" vertical="center" shrinkToFit="1"/>
      <protection hidden="1"/>
    </xf>
    <xf numFmtId="176" fontId="27" fillId="3" borderId="5" xfId="4" applyNumberFormat="1" applyFont="1" applyFill="1" applyBorder="1" applyAlignment="1" applyProtection="1">
      <alignment horizontal="right" vertical="center" shrinkToFit="1"/>
      <protection hidden="1"/>
    </xf>
    <xf numFmtId="173" fontId="27" fillId="3" borderId="6" xfId="2" applyNumberFormat="1" applyFont="1" applyFill="1" applyBorder="1" applyAlignment="1" applyProtection="1">
      <alignment horizontal="center" vertical="center" shrinkToFit="1"/>
      <protection hidden="1"/>
    </xf>
    <xf numFmtId="10" fontId="27" fillId="3" borderId="5" xfId="3" applyNumberFormat="1" applyFont="1" applyFill="1" applyBorder="1" applyAlignment="1" applyProtection="1">
      <alignment horizontal="center" vertical="center" shrinkToFit="1"/>
      <protection hidden="1"/>
    </xf>
    <xf numFmtId="176" fontId="27" fillId="3" borderId="11" xfId="4" applyNumberFormat="1" applyFont="1" applyFill="1" applyBorder="1" applyAlignment="1" applyProtection="1">
      <alignment horizontal="right" vertical="center" shrinkToFit="1"/>
      <protection hidden="1"/>
    </xf>
    <xf numFmtId="173" fontId="27" fillId="3" borderId="10" xfId="2" applyNumberFormat="1" applyFont="1" applyFill="1" applyBorder="1" applyAlignment="1" applyProtection="1">
      <alignment horizontal="center" vertical="center" shrinkToFit="1"/>
      <protection hidden="1"/>
    </xf>
    <xf numFmtId="176" fontId="28" fillId="20" borderId="26" xfId="4" applyNumberFormat="1" applyFont="1" applyFill="1" applyBorder="1" applyAlignment="1" applyProtection="1">
      <alignment horizontal="right" vertical="center" shrinkToFit="1"/>
      <protection hidden="1"/>
    </xf>
    <xf numFmtId="173" fontId="28" fillId="20" borderId="21" xfId="2" applyNumberFormat="1" applyFont="1" applyFill="1" applyBorder="1" applyAlignment="1" applyProtection="1">
      <alignment horizontal="center" vertical="center" shrinkToFit="1"/>
      <protection hidden="1"/>
    </xf>
    <xf numFmtId="173" fontId="28" fillId="20" borderId="21" xfId="2" applyNumberFormat="1" applyFont="1" applyFill="1" applyBorder="1" applyAlignment="1" applyProtection="1">
      <alignment horizontal="right" vertical="center" shrinkToFit="1"/>
      <protection hidden="1"/>
    </xf>
    <xf numFmtId="10" fontId="28" fillId="20" borderId="21" xfId="3" applyNumberFormat="1" applyFont="1" applyFill="1" applyBorder="1" applyAlignment="1" applyProtection="1">
      <alignment horizontal="center" vertical="center" shrinkToFit="1"/>
      <protection hidden="1"/>
    </xf>
    <xf numFmtId="173" fontId="28" fillId="3" borderId="5" xfId="2" applyNumberFormat="1" applyFont="1" applyFill="1" applyBorder="1" applyAlignment="1" applyProtection="1">
      <alignment horizontal="right" vertical="center" shrinkToFit="1"/>
      <protection hidden="1"/>
    </xf>
    <xf numFmtId="173" fontId="28" fillId="19" borderId="25" xfId="2" applyNumberFormat="1" applyFont="1" applyFill="1" applyBorder="1" applyAlignment="1" applyProtection="1">
      <alignment horizontal="right" vertical="center" shrinkToFit="1"/>
      <protection hidden="1"/>
    </xf>
    <xf numFmtId="173" fontId="27" fillId="3" borderId="1" xfId="0" applyNumberFormat="1" applyFont="1" applyFill="1" applyBorder="1" applyAlignment="1" applyProtection="1">
      <alignment horizontal="center" vertical="center" shrinkToFit="1"/>
      <protection hidden="1"/>
    </xf>
    <xf numFmtId="168" fontId="28" fillId="4" borderId="5" xfId="0" applyNumberFormat="1" applyFont="1" applyFill="1" applyBorder="1" applyAlignment="1" applyProtection="1">
      <alignment horizontal="center" vertical="center"/>
      <protection hidden="1"/>
    </xf>
    <xf numFmtId="0" fontId="28" fillId="0" borderId="2" xfId="0" applyFont="1" applyBorder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28" fillId="0" borderId="2" xfId="0" applyFont="1" applyBorder="1" applyAlignment="1" applyProtection="1">
      <alignment horizontal="center" vertical="center" wrapText="1"/>
      <protection hidden="1"/>
    </xf>
    <xf numFmtId="0" fontId="27" fillId="0" borderId="3" xfId="0" applyFont="1" applyBorder="1" applyAlignment="1" applyProtection="1">
      <alignment horizontal="center" vertical="center" wrapText="1"/>
      <protection hidden="1"/>
    </xf>
    <xf numFmtId="0" fontId="27" fillId="0" borderId="1" xfId="0" applyFont="1" applyBorder="1" applyAlignment="1" applyProtection="1">
      <alignment horizontal="center" vertical="center" wrapText="1"/>
      <protection hidden="1"/>
    </xf>
    <xf numFmtId="0" fontId="28" fillId="21" borderId="5" xfId="0" applyFont="1" applyFill="1" applyBorder="1" applyAlignment="1" applyProtection="1">
      <alignment horizontal="center" vertical="center" wrapText="1"/>
      <protection hidden="1"/>
    </xf>
    <xf numFmtId="0" fontId="24" fillId="11" borderId="2" xfId="0" applyFont="1" applyFill="1" applyBorder="1" applyAlignment="1" applyProtection="1">
      <alignment horizontal="left" vertical="center"/>
      <protection hidden="1"/>
    </xf>
    <xf numFmtId="0" fontId="24" fillId="11" borderId="0" xfId="0" applyFont="1" applyFill="1" applyAlignment="1" applyProtection="1">
      <alignment horizontal="center" vertical="center" wrapText="1"/>
      <protection hidden="1"/>
    </xf>
    <xf numFmtId="166" fontId="33" fillId="11" borderId="0" xfId="0" applyNumberFormat="1" applyFont="1" applyFill="1" applyAlignment="1" applyProtection="1">
      <alignment horizontal="center" vertical="center" wrapText="1"/>
      <protection hidden="1"/>
    </xf>
    <xf numFmtId="166" fontId="33" fillId="11" borderId="7" xfId="0" applyNumberFormat="1" applyFont="1" applyFill="1" applyBorder="1" applyAlignment="1" applyProtection="1">
      <alignment horizontal="center" vertical="center" wrapText="1"/>
      <protection hidden="1"/>
    </xf>
    <xf numFmtId="0" fontId="33" fillId="0" borderId="5" xfId="0" applyFont="1" applyBorder="1" applyAlignment="1" applyProtection="1">
      <alignment horizontal="left" vertical="center" wrapText="1"/>
      <protection hidden="1"/>
    </xf>
    <xf numFmtId="173" fontId="33" fillId="3" borderId="5" xfId="2" applyNumberFormat="1" applyFont="1" applyFill="1" applyBorder="1" applyAlignment="1" applyProtection="1">
      <alignment horizontal="center" vertical="center" wrapText="1"/>
      <protection hidden="1"/>
    </xf>
    <xf numFmtId="173" fontId="33" fillId="21" borderId="5" xfId="2" applyNumberFormat="1" applyFont="1" applyFill="1" applyBorder="1" applyAlignment="1" applyProtection="1">
      <alignment horizontal="center" vertical="center" wrapText="1"/>
      <protection hidden="1"/>
    </xf>
    <xf numFmtId="0" fontId="27" fillId="0" borderId="5" xfId="0" applyFont="1" applyBorder="1" applyAlignment="1" applyProtection="1">
      <alignment horizontal="left" vertical="center" wrapText="1"/>
      <protection hidden="1"/>
    </xf>
    <xf numFmtId="0" fontId="28" fillId="13" borderId="5" xfId="0" applyFont="1" applyFill="1" applyBorder="1" applyAlignment="1" applyProtection="1">
      <alignment horizontal="center" vertical="center" wrapText="1"/>
      <protection hidden="1"/>
    </xf>
    <xf numFmtId="0" fontId="28" fillId="14" borderId="5" xfId="0" applyFont="1" applyFill="1" applyBorder="1" applyAlignment="1" applyProtection="1">
      <alignment horizontal="center" vertical="center" wrapText="1"/>
      <protection hidden="1"/>
    </xf>
    <xf numFmtId="0" fontId="24" fillId="11" borderId="3" xfId="0" applyFont="1" applyFill="1" applyBorder="1" applyAlignment="1" applyProtection="1">
      <alignment horizontal="left" vertical="center" wrapText="1"/>
      <protection hidden="1"/>
    </xf>
    <xf numFmtId="173" fontId="33" fillId="3" borderId="8" xfId="2" applyNumberFormat="1" applyFont="1" applyFill="1" applyBorder="1" applyAlignment="1" applyProtection="1">
      <alignment horizontal="center" vertical="center" shrinkToFit="1"/>
      <protection hidden="1"/>
    </xf>
    <xf numFmtId="37" fontId="27" fillId="3" borderId="5" xfId="2" applyNumberFormat="1" applyFont="1" applyFill="1" applyBorder="1" applyAlignment="1" applyProtection="1">
      <alignment horizontal="center" vertical="center" shrinkToFit="1"/>
      <protection hidden="1"/>
    </xf>
    <xf numFmtId="0" fontId="0" fillId="0" borderId="0" xfId="0" applyProtection="1">
      <protection hidden="1"/>
    </xf>
    <xf numFmtId="10" fontId="27" fillId="3" borderId="11" xfId="3" applyNumberFormat="1" applyFont="1" applyFill="1" applyBorder="1" applyAlignment="1" applyProtection="1">
      <alignment horizontal="center" vertical="center" shrinkToFit="1"/>
      <protection hidden="1"/>
    </xf>
    <xf numFmtId="10" fontId="28" fillId="3" borderId="8" xfId="3" applyNumberFormat="1" applyFont="1" applyFill="1" applyBorder="1" applyAlignment="1" applyProtection="1">
      <alignment horizontal="center" vertical="center" shrinkToFit="1"/>
      <protection hidden="1"/>
    </xf>
    <xf numFmtId="5" fontId="27" fillId="11" borderId="3" xfId="2" applyNumberFormat="1" applyFont="1" applyFill="1" applyBorder="1" applyAlignment="1" applyProtection="1">
      <alignment vertical="center" shrinkToFit="1"/>
      <protection locked="0"/>
    </xf>
    <xf numFmtId="5" fontId="27" fillId="11" borderId="1" xfId="2" applyNumberFormat="1" applyFont="1" applyFill="1" applyBorder="1" applyAlignment="1" applyProtection="1">
      <alignment vertical="center" shrinkToFit="1"/>
      <protection locked="0"/>
    </xf>
    <xf numFmtId="5" fontId="27" fillId="11" borderId="6" xfId="2" applyNumberFormat="1" applyFont="1" applyFill="1" applyBorder="1" applyAlignment="1" applyProtection="1">
      <alignment vertical="center" shrinkToFit="1"/>
      <protection locked="0"/>
    </xf>
    <xf numFmtId="0" fontId="28" fillId="16" borderId="5" xfId="5" applyFont="1" applyFill="1" applyBorder="1" applyAlignment="1">
      <alignment horizontal="center" vertical="center" wrapText="1"/>
    </xf>
    <xf numFmtId="180" fontId="27" fillId="3" borderId="0" xfId="2" applyNumberFormat="1" applyFont="1" applyFill="1" applyBorder="1" applyAlignment="1" applyProtection="1">
      <alignment horizontal="center" vertical="center" shrinkToFit="1"/>
      <protection hidden="1"/>
    </xf>
    <xf numFmtId="173" fontId="27" fillId="3" borderId="0" xfId="2" applyNumberFormat="1" applyFont="1" applyFill="1" applyBorder="1" applyAlignment="1" applyProtection="1">
      <alignment horizontal="center" vertical="center" shrinkToFit="1"/>
      <protection hidden="1"/>
    </xf>
    <xf numFmtId="173" fontId="27" fillId="3" borderId="0" xfId="2" applyNumberFormat="1" applyFont="1" applyFill="1" applyBorder="1" applyAlignment="1" applyProtection="1">
      <alignment horizontal="right" vertical="center" shrinkToFit="1"/>
      <protection hidden="1"/>
    </xf>
    <xf numFmtId="180" fontId="27" fillId="3" borderId="7" xfId="2" applyNumberFormat="1" applyFont="1" applyFill="1" applyBorder="1" applyAlignment="1" applyProtection="1">
      <alignment horizontal="center" vertical="center" shrinkToFit="1"/>
      <protection hidden="1"/>
    </xf>
    <xf numFmtId="180" fontId="31" fillId="0" borderId="0" xfId="0" applyNumberFormat="1" applyFont="1" applyAlignment="1" applyProtection="1">
      <alignment vertical="center"/>
      <protection hidden="1"/>
    </xf>
    <xf numFmtId="180" fontId="27" fillId="2" borderId="11" xfId="2" applyNumberFormat="1" applyFont="1" applyFill="1" applyBorder="1" applyAlignment="1" applyProtection="1">
      <alignment horizontal="center" vertical="center" shrinkToFit="1"/>
      <protection locked="0" hidden="1"/>
    </xf>
    <xf numFmtId="180" fontId="28" fillId="4" borderId="12" xfId="2" applyNumberFormat="1" applyFont="1" applyFill="1" applyBorder="1" applyAlignment="1" applyProtection="1">
      <alignment horizontal="center" vertical="center" shrinkToFit="1"/>
    </xf>
    <xf numFmtId="10" fontId="28" fillId="20" borderId="26" xfId="3" applyNumberFormat="1" applyFont="1" applyFill="1" applyBorder="1" applyAlignment="1" applyProtection="1">
      <alignment horizontal="center" vertical="center" shrinkToFit="1"/>
      <protection hidden="1"/>
    </xf>
    <xf numFmtId="10" fontId="28" fillId="3" borderId="5" xfId="3" applyNumberFormat="1" applyFont="1" applyFill="1" applyBorder="1" applyAlignment="1" applyProtection="1">
      <alignment horizontal="center" vertical="center" shrinkToFit="1"/>
      <protection hidden="1"/>
    </xf>
    <xf numFmtId="10" fontId="28" fillId="19" borderId="25" xfId="3" applyNumberFormat="1" applyFont="1" applyFill="1" applyBorder="1" applyAlignment="1" applyProtection="1">
      <alignment horizontal="center" vertical="center" shrinkToFit="1"/>
      <protection hidden="1"/>
    </xf>
    <xf numFmtId="173" fontId="27" fillId="3" borderId="15" xfId="2" applyNumberFormat="1" applyFont="1" applyFill="1" applyBorder="1" applyAlignment="1" applyProtection="1">
      <alignment horizontal="center" vertical="center" shrinkToFit="1"/>
      <protection hidden="1"/>
    </xf>
    <xf numFmtId="5" fontId="27" fillId="2" borderId="5" xfId="2" applyNumberFormat="1" applyFont="1" applyFill="1" applyBorder="1" applyAlignment="1" applyProtection="1">
      <alignment horizontal="center" vertical="center" shrinkToFit="1"/>
      <protection locked="0"/>
    </xf>
    <xf numFmtId="49" fontId="62" fillId="0" borderId="0" xfId="2" applyNumberFormat="1" applyFont="1" applyAlignment="1">
      <alignment horizontal="left" vertical="center" wrapText="1"/>
    </xf>
    <xf numFmtId="49" fontId="63" fillId="0" borderId="0" xfId="0" applyNumberFormat="1" applyFont="1" applyAlignment="1">
      <alignment horizontal="left" vertical="center" wrapText="1"/>
    </xf>
    <xf numFmtId="183" fontId="36" fillId="0" borderId="0" xfId="3" applyNumberFormat="1" applyFont="1" applyFill="1" applyBorder="1" applyAlignment="1" applyProtection="1">
      <alignment vertical="center" wrapText="1"/>
      <protection hidden="1"/>
    </xf>
    <xf numFmtId="183" fontId="30" fillId="0" borderId="0" xfId="3" applyNumberFormat="1" applyFont="1" applyAlignment="1">
      <alignment vertical="center"/>
    </xf>
    <xf numFmtId="173" fontId="27" fillId="3" borderId="3" xfId="2" applyNumberFormat="1" applyFont="1" applyFill="1" applyBorder="1" applyAlignment="1" applyProtection="1">
      <alignment horizontal="center" vertical="center"/>
      <protection hidden="1"/>
    </xf>
    <xf numFmtId="173" fontId="27" fillId="3" borderId="1" xfId="2" applyNumberFormat="1" applyFont="1" applyFill="1" applyBorder="1" applyAlignment="1" applyProtection="1">
      <alignment horizontal="center" vertical="center"/>
      <protection hidden="1"/>
    </xf>
    <xf numFmtId="173" fontId="27" fillId="3" borderId="6" xfId="2" applyNumberFormat="1" applyFont="1" applyFill="1" applyBorder="1" applyAlignment="1" applyProtection="1">
      <alignment horizontal="center" vertical="center"/>
      <protection hidden="1"/>
    </xf>
    <xf numFmtId="165" fontId="31" fillId="0" borderId="4" xfId="2" applyFont="1" applyFill="1" applyBorder="1" applyAlignment="1" applyProtection="1">
      <alignment vertical="center" wrapText="1"/>
      <protection hidden="1"/>
    </xf>
    <xf numFmtId="180" fontId="27" fillId="3" borderId="6" xfId="2" applyNumberFormat="1" applyFont="1" applyFill="1" applyBorder="1" applyAlignment="1" applyProtection="1">
      <alignment horizontal="right" vertical="center" shrinkToFit="1"/>
      <protection hidden="1"/>
    </xf>
    <xf numFmtId="173" fontId="27" fillId="3" borderId="11" xfId="2" applyNumberFormat="1" applyFont="1" applyFill="1" applyBorder="1" applyAlignment="1" applyProtection="1">
      <alignment horizontal="center" vertical="center" shrinkToFit="1"/>
      <protection hidden="1"/>
    </xf>
    <xf numFmtId="173" fontId="27" fillId="3" borderId="22" xfId="2" applyNumberFormat="1" applyFont="1" applyFill="1" applyBorder="1" applyAlignment="1" applyProtection="1">
      <alignment horizontal="center" vertical="center" shrinkToFit="1"/>
      <protection hidden="1"/>
    </xf>
    <xf numFmtId="0" fontId="27" fillId="9" borderId="0" xfId="0" applyFont="1" applyFill="1" applyAlignment="1" applyProtection="1">
      <alignment vertical="center"/>
      <protection locked="0"/>
    </xf>
    <xf numFmtId="0" fontId="54" fillId="9" borderId="0" xfId="0" applyFont="1" applyFill="1" applyAlignment="1" applyProtection="1">
      <alignment vertical="center"/>
      <protection hidden="1"/>
    </xf>
    <xf numFmtId="0" fontId="54" fillId="9" borderId="0" xfId="0" applyFont="1" applyFill="1" applyAlignment="1" applyProtection="1">
      <alignment vertical="center" wrapText="1"/>
      <protection hidden="1"/>
    </xf>
    <xf numFmtId="0" fontId="72" fillId="9" borderId="0" xfId="0" applyFont="1" applyFill="1" applyAlignment="1" applyProtection="1">
      <alignment vertical="center"/>
      <protection hidden="1"/>
    </xf>
    <xf numFmtId="9" fontId="54" fillId="9" borderId="0" xfId="0" applyNumberFormat="1" applyFont="1" applyFill="1" applyAlignment="1" applyProtection="1">
      <alignment vertical="center" wrapText="1"/>
      <protection hidden="1"/>
    </xf>
    <xf numFmtId="0" fontId="54" fillId="9" borderId="0" xfId="0" applyFont="1" applyFill="1" applyAlignment="1" applyProtection="1">
      <alignment horizontal="center" vertical="center"/>
      <protection hidden="1"/>
    </xf>
    <xf numFmtId="0" fontId="25" fillId="9" borderId="0" xfId="0" applyFont="1" applyFill="1" applyAlignment="1" applyProtection="1">
      <alignment vertical="center"/>
      <protection hidden="1"/>
    </xf>
    <xf numFmtId="0" fontId="76" fillId="9" borderId="0" xfId="0" applyFont="1" applyFill="1" applyAlignment="1" applyProtection="1">
      <alignment vertical="center"/>
      <protection hidden="1"/>
    </xf>
    <xf numFmtId="0" fontId="77" fillId="9" borderId="0" xfId="0" applyFont="1" applyFill="1" applyAlignment="1" applyProtection="1">
      <alignment vertical="center" wrapText="1"/>
      <protection hidden="1"/>
    </xf>
    <xf numFmtId="0" fontId="15" fillId="0" borderId="1" xfId="5" applyFont="1" applyBorder="1" applyAlignment="1">
      <alignment horizontal="center" vertical="center"/>
    </xf>
    <xf numFmtId="0" fontId="54" fillId="9" borderId="0" xfId="0" applyFont="1" applyFill="1" applyAlignment="1" applyProtection="1">
      <alignment vertical="center" wrapText="1"/>
      <protection locked="0"/>
    </xf>
    <xf numFmtId="0" fontId="28" fillId="10" borderId="3" xfId="0" applyFont="1" applyFill="1" applyBorder="1" applyAlignment="1" applyProtection="1">
      <alignment horizontal="center" vertical="center" wrapText="1"/>
      <protection hidden="1"/>
    </xf>
    <xf numFmtId="0" fontId="28" fillId="10" borderId="6" xfId="0" applyFont="1" applyFill="1" applyBorder="1" applyAlignment="1" applyProtection="1">
      <alignment horizontal="center" vertical="center" wrapText="1"/>
      <protection hidden="1"/>
    </xf>
    <xf numFmtId="0" fontId="28" fillId="0" borderId="3" xfId="0" applyFont="1" applyBorder="1" applyAlignment="1">
      <alignment horizontal="right" vertical="center" wrapText="1"/>
    </xf>
    <xf numFmtId="0" fontId="28" fillId="0" borderId="1" xfId="0" applyFont="1" applyBorder="1" applyAlignment="1">
      <alignment horizontal="right" vertical="center" wrapText="1"/>
    </xf>
    <xf numFmtId="0" fontId="28" fillId="0" borderId="6" xfId="0" applyFont="1" applyBorder="1" applyAlignment="1">
      <alignment horizontal="right" vertical="center" wrapText="1"/>
    </xf>
    <xf numFmtId="0" fontId="24" fillId="0" borderId="3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right" vertical="center" wrapText="1"/>
    </xf>
    <xf numFmtId="0" fontId="24" fillId="0" borderId="6" xfId="0" applyFont="1" applyBorder="1" applyAlignment="1">
      <alignment horizontal="right" vertical="center" wrapText="1"/>
    </xf>
    <xf numFmtId="171" fontId="28" fillId="0" borderId="19" xfId="2" applyNumberFormat="1" applyFont="1" applyFill="1" applyBorder="1" applyAlignment="1" applyProtection="1">
      <alignment horizontal="right" vertical="center" wrapText="1"/>
    </xf>
    <xf numFmtId="0" fontId="28" fillId="10" borderId="3" xfId="0" applyFont="1" applyFill="1" applyBorder="1" applyAlignment="1">
      <alignment horizontal="center" vertical="center" wrapText="1"/>
    </xf>
    <xf numFmtId="0" fontId="28" fillId="10" borderId="6" xfId="0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5" fillId="7" borderId="16" xfId="0" applyFont="1" applyFill="1" applyBorder="1" applyAlignment="1">
      <alignment horizontal="center" vertical="center" wrapText="1"/>
    </xf>
    <xf numFmtId="0" fontId="28" fillId="10" borderId="3" xfId="0" applyFont="1" applyFill="1" applyBorder="1" applyAlignment="1">
      <alignment horizontal="left" vertical="center" wrapText="1"/>
    </xf>
    <xf numFmtId="0" fontId="28" fillId="10" borderId="6" xfId="0" applyFont="1" applyFill="1" applyBorder="1" applyAlignment="1">
      <alignment vertical="center" wrapText="1"/>
    </xf>
    <xf numFmtId="170" fontId="45" fillId="2" borderId="16" xfId="0" applyNumberFormat="1" applyFont="1" applyFill="1" applyBorder="1" applyAlignment="1" applyProtection="1">
      <alignment horizontal="center" vertical="center" wrapText="1"/>
      <protection locked="0"/>
    </xf>
    <xf numFmtId="170" fontId="45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45" fillId="2" borderId="14" xfId="0" applyFont="1" applyFill="1" applyBorder="1" applyAlignment="1" applyProtection="1">
      <alignment horizontal="center" vertical="center" wrapText="1"/>
      <protection locked="0"/>
    </xf>
    <xf numFmtId="0" fontId="28" fillId="0" borderId="16" xfId="0" applyFont="1" applyBorder="1" applyAlignment="1" applyProtection="1">
      <alignment horizontal="center" vertical="center" wrapText="1"/>
      <protection locked="0"/>
    </xf>
    <xf numFmtId="0" fontId="28" fillId="0" borderId="17" xfId="0" applyFont="1" applyBorder="1" applyAlignment="1" applyProtection="1">
      <alignment horizontal="center" vertical="center" wrapText="1"/>
      <protection locked="0"/>
    </xf>
    <xf numFmtId="0" fontId="28" fillId="0" borderId="16" xfId="0" applyFont="1" applyBorder="1" applyAlignment="1">
      <alignment horizontal="right" vertical="center" wrapText="1"/>
    </xf>
    <xf numFmtId="0" fontId="45" fillId="2" borderId="16" xfId="0" applyFont="1" applyFill="1" applyBorder="1" applyAlignment="1" applyProtection="1">
      <alignment horizontal="center" vertical="center" wrapText="1"/>
      <protection locked="0"/>
    </xf>
    <xf numFmtId="0" fontId="45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24" fillId="15" borderId="3" xfId="0" applyFont="1" applyFill="1" applyBorder="1" applyAlignment="1" applyProtection="1">
      <alignment horizontal="center" vertical="center" wrapText="1"/>
      <protection hidden="1"/>
    </xf>
    <xf numFmtId="0" fontId="24" fillId="15" borderId="1" xfId="0" applyFont="1" applyFill="1" applyBorder="1" applyAlignment="1" applyProtection="1">
      <alignment horizontal="center" vertical="center" wrapText="1"/>
      <protection hidden="1"/>
    </xf>
    <xf numFmtId="0" fontId="24" fillId="15" borderId="6" xfId="0" applyFont="1" applyFill="1" applyBorder="1" applyAlignment="1" applyProtection="1">
      <alignment horizontal="center" vertical="center" wrapText="1"/>
      <protection hidden="1"/>
    </xf>
    <xf numFmtId="0" fontId="34" fillId="3" borderId="3" xfId="0" applyFont="1" applyFill="1" applyBorder="1" applyAlignment="1" applyProtection="1">
      <alignment horizontal="left" vertical="center" wrapText="1"/>
      <protection hidden="1"/>
    </xf>
    <xf numFmtId="0" fontId="34" fillId="3" borderId="1" xfId="0" applyFont="1" applyFill="1" applyBorder="1" applyAlignment="1" applyProtection="1">
      <alignment horizontal="left" vertical="center" wrapText="1"/>
      <protection hidden="1"/>
    </xf>
    <xf numFmtId="0" fontId="34" fillId="3" borderId="6" xfId="0" applyFont="1" applyFill="1" applyBorder="1" applyAlignment="1" applyProtection="1">
      <alignment horizontal="left" vertical="center" wrapText="1"/>
      <protection hidden="1"/>
    </xf>
    <xf numFmtId="0" fontId="24" fillId="0" borderId="3" xfId="0" applyFont="1" applyBorder="1" applyAlignment="1" applyProtection="1">
      <alignment horizontal="center" vertical="center" wrapText="1"/>
      <protection hidden="1"/>
    </xf>
    <xf numFmtId="0" fontId="24" fillId="0" borderId="4" xfId="0" applyFont="1" applyBorder="1" applyAlignment="1" applyProtection="1">
      <alignment horizontal="center" vertical="center" wrapText="1"/>
      <protection hidden="1"/>
    </xf>
    <xf numFmtId="0" fontId="24" fillId="12" borderId="1" xfId="0" applyFont="1" applyFill="1" applyBorder="1" applyAlignment="1" applyProtection="1">
      <alignment horizontal="center" vertical="center" wrapText="1"/>
      <protection hidden="1"/>
    </xf>
    <xf numFmtId="0" fontId="24" fillId="12" borderId="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>
      <alignment horizontal="left" vertical="center"/>
    </xf>
    <xf numFmtId="0" fontId="24" fillId="13" borderId="3" xfId="0" applyFont="1" applyFill="1" applyBorder="1" applyAlignment="1" applyProtection="1">
      <alignment horizontal="center" vertical="center" wrapText="1"/>
      <protection hidden="1"/>
    </xf>
    <xf numFmtId="0" fontId="24" fillId="13" borderId="1" xfId="0" applyFont="1" applyFill="1" applyBorder="1" applyAlignment="1" applyProtection="1">
      <alignment horizontal="center" vertical="center" wrapText="1"/>
      <protection hidden="1"/>
    </xf>
    <xf numFmtId="0" fontId="24" fillId="13" borderId="6" xfId="0" applyFont="1" applyFill="1" applyBorder="1" applyAlignment="1" applyProtection="1">
      <alignment horizontal="center" vertical="center" wrapText="1"/>
      <protection hidden="1"/>
    </xf>
    <xf numFmtId="0" fontId="34" fillId="11" borderId="3" xfId="0" applyFont="1" applyFill="1" applyBorder="1" applyAlignment="1" applyProtection="1">
      <alignment horizontal="center" vertical="center" wrapText="1"/>
      <protection hidden="1"/>
    </xf>
    <xf numFmtId="0" fontId="65" fillId="0" borderId="1" xfId="0" applyFont="1" applyBorder="1" applyAlignment="1" applyProtection="1">
      <alignment vertical="center"/>
      <protection hidden="1"/>
    </xf>
    <xf numFmtId="0" fontId="65" fillId="0" borderId="6" xfId="0" applyFont="1" applyBorder="1" applyAlignment="1" applyProtection="1">
      <alignment vertical="center"/>
      <protection hidden="1"/>
    </xf>
    <xf numFmtId="0" fontId="50" fillId="2" borderId="9" xfId="0" applyFont="1" applyFill="1" applyBorder="1" applyAlignment="1" applyProtection="1">
      <alignment horizontal="left" vertical="top" wrapText="1"/>
      <protection locked="0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24" fillId="14" borderId="3" xfId="0" applyFont="1" applyFill="1" applyBorder="1" applyAlignment="1" applyProtection="1">
      <alignment horizontal="center" vertical="center" wrapText="1"/>
      <protection hidden="1"/>
    </xf>
    <xf numFmtId="0" fontId="24" fillId="14" borderId="1" xfId="0" applyFont="1" applyFill="1" applyBorder="1" applyAlignment="1" applyProtection="1">
      <alignment horizontal="center" vertical="center" wrapText="1"/>
      <protection hidden="1"/>
    </xf>
    <xf numFmtId="0" fontId="24" fillId="14" borderId="6" xfId="0" applyFont="1" applyFill="1" applyBorder="1" applyAlignment="1" applyProtection="1">
      <alignment horizontal="center" vertical="center" wrapText="1"/>
      <protection hidden="1"/>
    </xf>
    <xf numFmtId="173" fontId="28" fillId="3" borderId="5" xfId="2" applyNumberFormat="1" applyFont="1" applyFill="1" applyBorder="1" applyAlignment="1" applyProtection="1">
      <alignment horizontal="right" vertical="center" wrapText="1"/>
      <protection hidden="1"/>
    </xf>
    <xf numFmtId="0" fontId="28" fillId="0" borderId="1" xfId="0" applyFont="1" applyBorder="1" applyAlignment="1" applyProtection="1">
      <alignment horizontal="right" vertical="center" wrapText="1"/>
      <protection hidden="1"/>
    </xf>
    <xf numFmtId="0" fontId="0" fillId="0" borderId="6" xfId="0" applyBorder="1" applyAlignment="1" applyProtection="1">
      <alignment horizontal="right" vertical="center" wrapText="1"/>
      <protection hidden="1"/>
    </xf>
    <xf numFmtId="0" fontId="28" fillId="16" borderId="3" xfId="0" applyFont="1" applyFill="1" applyBorder="1" applyAlignment="1" applyProtection="1">
      <alignment horizontal="center" vertical="center" wrapText="1"/>
      <protection hidden="1"/>
    </xf>
    <xf numFmtId="0" fontId="0" fillId="0" borderId="6" xfId="0" applyBorder="1" applyAlignment="1">
      <alignment vertical="center"/>
    </xf>
    <xf numFmtId="49" fontId="62" fillId="0" borderId="0" xfId="2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8" fillId="21" borderId="27" xfId="2" applyNumberFormat="1" applyFont="1" applyFill="1" applyBorder="1" applyAlignment="1" applyProtection="1">
      <alignment horizontal="center" vertical="center" wrapText="1"/>
      <protection hidden="1"/>
    </xf>
    <xf numFmtId="0" fontId="0" fillId="0" borderId="28" xfId="0" applyBorder="1" applyAlignment="1">
      <alignment horizontal="center" vertical="center" wrapText="1"/>
    </xf>
    <xf numFmtId="0" fontId="24" fillId="10" borderId="3" xfId="0" applyFont="1" applyFill="1" applyBorder="1" applyAlignment="1">
      <alignment horizontal="left" vertical="center"/>
    </xf>
    <xf numFmtId="0" fontId="28" fillId="10" borderId="6" xfId="0" applyFont="1" applyFill="1" applyBorder="1" applyAlignment="1">
      <alignment horizontal="left" vertical="center"/>
    </xf>
    <xf numFmtId="0" fontId="23" fillId="0" borderId="11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50" fillId="2" borderId="9" xfId="0" applyFont="1" applyFill="1" applyBorder="1" applyAlignment="1" applyProtection="1">
      <alignment horizontal="left" vertical="top"/>
      <protection locked="0"/>
    </xf>
    <xf numFmtId="0" fontId="50" fillId="2" borderId="19" xfId="0" applyFont="1" applyFill="1" applyBorder="1" applyAlignment="1" applyProtection="1">
      <alignment horizontal="left" vertical="top"/>
      <protection locked="0"/>
    </xf>
    <xf numFmtId="0" fontId="0" fillId="0" borderId="10" xfId="0" applyBorder="1" applyAlignment="1">
      <alignment horizontal="left" vertical="top"/>
    </xf>
    <xf numFmtId="0" fontId="50" fillId="2" borderId="13" xfId="0" applyFont="1" applyFill="1" applyBorder="1" applyAlignment="1" applyProtection="1">
      <alignment horizontal="left" vertical="top"/>
      <protection locked="0"/>
    </xf>
    <xf numFmtId="0" fontId="50" fillId="2" borderId="4" xfId="0" applyFont="1" applyFill="1" applyBorder="1" applyAlignment="1" applyProtection="1">
      <alignment horizontal="left" vertical="top"/>
      <protection locked="0"/>
    </xf>
    <xf numFmtId="0" fontId="0" fillId="0" borderId="15" xfId="0" applyBorder="1" applyAlignment="1">
      <alignment horizontal="left" vertical="top"/>
    </xf>
    <xf numFmtId="0" fontId="52" fillId="6" borderId="0" xfId="0" applyFont="1" applyFill="1" applyAlignment="1" applyProtection="1">
      <alignment vertical="center" wrapText="1"/>
      <protection hidden="1"/>
    </xf>
    <xf numFmtId="0" fontId="56" fillId="0" borderId="0" xfId="0" applyFont="1" applyAlignment="1" applyProtection="1">
      <alignment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28" fillId="0" borderId="3" xfId="0" applyFont="1" applyBorder="1" applyAlignment="1" applyProtection="1">
      <alignment horizontal="center" vertical="center" wrapText="1"/>
      <protection hidden="1"/>
    </xf>
    <xf numFmtId="0" fontId="28" fillId="0" borderId="1" xfId="0" applyFont="1" applyBorder="1" applyAlignment="1" applyProtection="1">
      <alignment horizontal="center" vertical="center" wrapText="1"/>
      <protection hidden="1"/>
    </xf>
    <xf numFmtId="180" fontId="28" fillId="3" borderId="3" xfId="2" applyNumberFormat="1" applyFont="1" applyFill="1" applyBorder="1" applyAlignment="1" applyProtection="1">
      <alignment horizontal="right" vertical="center" wrapText="1"/>
      <protection hidden="1"/>
    </xf>
    <xf numFmtId="180" fontId="28" fillId="3" borderId="6" xfId="2" applyNumberFormat="1" applyFont="1" applyFill="1" applyBorder="1" applyAlignment="1" applyProtection="1">
      <alignment horizontal="right" vertical="center" wrapText="1"/>
      <protection hidden="1"/>
    </xf>
    <xf numFmtId="0" fontId="73" fillId="0" borderId="3" xfId="0" applyFont="1" applyBorder="1" applyAlignment="1">
      <alignment horizontal="left" vertical="center" wrapText="1"/>
    </xf>
    <xf numFmtId="0" fontId="73" fillId="0" borderId="6" xfId="0" applyFont="1" applyBorder="1" applyAlignment="1">
      <alignment horizontal="left" vertical="center" wrapText="1"/>
    </xf>
    <xf numFmtId="0" fontId="24" fillId="0" borderId="3" xfId="5" applyFont="1" applyBorder="1" applyAlignment="1">
      <alignment horizontal="left" vertical="center" wrapText="1"/>
    </xf>
    <xf numFmtId="0" fontId="24" fillId="0" borderId="6" xfId="5" applyFont="1" applyBorder="1" applyAlignment="1">
      <alignment horizontal="left" vertical="center" wrapText="1"/>
    </xf>
    <xf numFmtId="0" fontId="24" fillId="10" borderId="3" xfId="5" applyFont="1" applyFill="1" applyBorder="1" applyAlignment="1" applyProtection="1">
      <alignment horizontal="center" vertical="center"/>
      <protection hidden="1"/>
    </xf>
    <xf numFmtId="0" fontId="28" fillId="10" borderId="6" xfId="5" applyFont="1" applyFill="1" applyBorder="1" applyAlignment="1" applyProtection="1">
      <alignment horizontal="center" vertical="center"/>
      <protection hidden="1"/>
    </xf>
    <xf numFmtId="0" fontId="29" fillId="7" borderId="0" xfId="5" applyFont="1" applyFill="1" applyAlignment="1">
      <alignment horizontal="center" vertical="center" wrapText="1"/>
    </xf>
    <xf numFmtId="0" fontId="28" fillId="0" borderId="14" xfId="0" applyFont="1" applyBorder="1" applyAlignment="1" applyProtection="1">
      <alignment horizontal="center" vertical="center" wrapText="1"/>
      <protection locked="0"/>
    </xf>
    <xf numFmtId="0" fontId="28" fillId="0" borderId="23" xfId="0" applyFont="1" applyBorder="1" applyAlignment="1" applyProtection="1">
      <alignment horizontal="center" vertical="center" wrapText="1"/>
      <protection locked="0"/>
    </xf>
    <xf numFmtId="0" fontId="45" fillId="2" borderId="24" xfId="0" applyFont="1" applyFill="1" applyBorder="1" applyAlignment="1" applyProtection="1">
      <alignment horizontal="center" vertical="center" wrapText="1"/>
      <protection locked="0"/>
    </xf>
    <xf numFmtId="0" fontId="28" fillId="0" borderId="14" xfId="0" applyFont="1" applyBorder="1" applyAlignment="1">
      <alignment horizontal="right" vertical="center" wrapText="1"/>
    </xf>
    <xf numFmtId="170" fontId="45" fillId="2" borderId="14" xfId="0" applyNumberFormat="1" applyFont="1" applyFill="1" applyBorder="1" applyAlignment="1" applyProtection="1">
      <alignment horizontal="center" vertical="center" wrapText="1"/>
      <protection locked="0"/>
    </xf>
    <xf numFmtId="170" fontId="45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hidden="1"/>
    </xf>
    <xf numFmtId="0" fontId="34" fillId="3" borderId="3" xfId="5" applyFont="1" applyFill="1" applyBorder="1" applyAlignment="1" applyProtection="1">
      <alignment horizontal="left" vertical="center" wrapText="1"/>
      <protection hidden="1"/>
    </xf>
    <xf numFmtId="0" fontId="34" fillId="3" borderId="1" xfId="5" applyFont="1" applyFill="1" applyBorder="1" applyAlignment="1" applyProtection="1">
      <alignment horizontal="left" vertical="center" wrapText="1"/>
      <protection hidden="1"/>
    </xf>
    <xf numFmtId="0" fontId="34" fillId="3" borderId="6" xfId="5" applyFont="1" applyFill="1" applyBorder="1" applyAlignment="1" applyProtection="1">
      <alignment horizontal="left" vertical="center" wrapText="1"/>
      <protection hidden="1"/>
    </xf>
    <xf numFmtId="0" fontId="24" fillId="11" borderId="3" xfId="0" applyFont="1" applyFill="1" applyBorder="1" applyAlignment="1" applyProtection="1">
      <alignment horizontal="left" vertical="center"/>
      <protection hidden="1"/>
    </xf>
    <xf numFmtId="0" fontId="0" fillId="0" borderId="6" xfId="0" applyBorder="1" applyAlignment="1" applyProtection="1">
      <alignment horizontal="left" vertical="center"/>
      <protection hidden="1"/>
    </xf>
    <xf numFmtId="0" fontId="34" fillId="11" borderId="1" xfId="0" applyFont="1" applyFill="1" applyBorder="1" applyAlignment="1" applyProtection="1">
      <alignment horizontal="center" vertical="center" wrapText="1"/>
      <protection hidden="1"/>
    </xf>
    <xf numFmtId="0" fontId="34" fillId="11" borderId="6" xfId="0" applyFont="1" applyFill="1" applyBorder="1" applyAlignment="1" applyProtection="1">
      <alignment horizontal="center" vertical="center" wrapText="1"/>
      <protection hidden="1"/>
    </xf>
    <xf numFmtId="0" fontId="14" fillId="6" borderId="0" xfId="5" applyFont="1" applyFill="1" applyAlignment="1" applyProtection="1">
      <alignment horizontal="left" vertical="center"/>
      <protection hidden="1"/>
    </xf>
    <xf numFmtId="0" fontId="1" fillId="0" borderId="0" xfId="0" applyFont="1" applyAlignment="1">
      <alignment horizontal="left" vertical="top"/>
    </xf>
    <xf numFmtId="0" fontId="42" fillId="0" borderId="0" xfId="0" applyFont="1" applyAlignment="1">
      <alignment horizontal="left" vertical="center"/>
    </xf>
    <xf numFmtId="0" fontId="14" fillId="6" borderId="0" xfId="0" applyFont="1" applyFill="1" applyAlignment="1">
      <alignment horizontal="left" vertical="center"/>
    </xf>
    <xf numFmtId="0" fontId="15" fillId="7" borderId="0" xfId="0" applyFont="1" applyFill="1" applyAlignment="1">
      <alignment horizontal="center" vertical="center" wrapText="1"/>
    </xf>
    <xf numFmtId="0" fontId="34" fillId="3" borderId="3" xfId="0" applyFont="1" applyFill="1" applyBorder="1" applyAlignment="1">
      <alignment horizontal="left" vertical="center" wrapText="1"/>
    </xf>
    <xf numFmtId="0" fontId="34" fillId="3" borderId="1" xfId="0" applyFont="1" applyFill="1" applyBorder="1" applyAlignment="1">
      <alignment horizontal="left" vertical="center" wrapText="1"/>
    </xf>
    <xf numFmtId="0" fontId="34" fillId="3" borderId="6" xfId="0" applyFont="1" applyFill="1" applyBorder="1" applyAlignment="1">
      <alignment horizontal="left" vertical="center" wrapText="1"/>
    </xf>
    <xf numFmtId="165" fontId="42" fillId="11" borderId="4" xfId="2" applyFont="1" applyFill="1" applyBorder="1" applyAlignment="1" applyProtection="1">
      <alignment horizontal="left" wrapText="1"/>
    </xf>
    <xf numFmtId="0" fontId="24" fillId="0" borderId="11" xfId="0" applyFont="1" applyBorder="1" applyAlignment="1">
      <alignment vertical="center" wrapText="1"/>
    </xf>
    <xf numFmtId="0" fontId="30" fillId="0" borderId="8" xfId="0" applyFont="1" applyBorder="1" applyAlignment="1">
      <alignment vertical="center" wrapText="1"/>
    </xf>
    <xf numFmtId="0" fontId="50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173" fontId="28" fillId="3" borderId="13" xfId="2" applyNumberFormat="1" applyFont="1" applyFill="1" applyBorder="1" applyAlignment="1" applyProtection="1">
      <alignment horizontal="right" vertical="center" wrapText="1"/>
    </xf>
    <xf numFmtId="173" fontId="28" fillId="3" borderId="15" xfId="2" applyNumberFormat="1" applyFont="1" applyFill="1" applyBorder="1" applyAlignment="1" applyProtection="1">
      <alignment horizontal="right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17" borderId="1" xfId="0" applyFont="1" applyFill="1" applyBorder="1" applyAlignment="1">
      <alignment horizontal="center" vertical="center" wrapText="1"/>
    </xf>
    <xf numFmtId="0" fontId="24" fillId="17" borderId="6" xfId="0" applyFont="1" applyFill="1" applyBorder="1" applyAlignment="1">
      <alignment horizontal="center" vertical="center" wrapText="1"/>
    </xf>
    <xf numFmtId="0" fontId="24" fillId="0" borderId="5" xfId="0" applyFont="1" applyBorder="1" applyAlignment="1">
      <alignment horizontal="left" vertical="center" wrapText="1"/>
    </xf>
    <xf numFmtId="0" fontId="28" fillId="0" borderId="5" xfId="0" applyFont="1" applyBorder="1" applyAlignment="1">
      <alignment vertical="center" wrapText="1"/>
    </xf>
    <xf numFmtId="0" fontId="28" fillId="0" borderId="3" xfId="0" applyFont="1" applyBorder="1" applyAlignment="1">
      <alignment horizontal="left" vertical="center" wrapText="1"/>
    </xf>
    <xf numFmtId="0" fontId="24" fillId="7" borderId="3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wrapText="1"/>
    </xf>
    <xf numFmtId="0" fontId="24" fillId="7" borderId="6" xfId="0" applyFont="1" applyFill="1" applyBorder="1" applyAlignment="1">
      <alignment horizontal="center" vertical="center" wrapText="1"/>
    </xf>
    <xf numFmtId="0" fontId="24" fillId="8" borderId="3" xfId="0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 wrapText="1"/>
    </xf>
    <xf numFmtId="0" fontId="24" fillId="8" borderId="6" xfId="0" applyFont="1" applyFill="1" applyBorder="1" applyAlignment="1">
      <alignment horizontal="center" vertical="center" wrapText="1"/>
    </xf>
    <xf numFmtId="0" fontId="24" fillId="18" borderId="3" xfId="0" applyFont="1" applyFill="1" applyBorder="1" applyAlignment="1">
      <alignment horizontal="center" vertical="center" wrapText="1"/>
    </xf>
    <xf numFmtId="0" fontId="24" fillId="18" borderId="1" xfId="0" applyFont="1" applyFill="1" applyBorder="1" applyAlignment="1">
      <alignment horizontal="center" vertical="center" wrapText="1"/>
    </xf>
    <xf numFmtId="0" fontId="24" fillId="18" borderId="6" xfId="0" applyFont="1" applyFill="1" applyBorder="1" applyAlignment="1">
      <alignment horizontal="center" vertical="center" wrapText="1"/>
    </xf>
    <xf numFmtId="0" fontId="27" fillId="9" borderId="0" xfId="0" applyFont="1" applyFill="1" applyAlignment="1" applyProtection="1">
      <alignment horizontal="center" vertical="center"/>
      <protection hidden="1"/>
    </xf>
  </cellXfs>
  <cellStyles count="11">
    <cellStyle name="Milliers [0]" xfId="1" builtinId="6"/>
    <cellStyle name="Monétaire" xfId="4" builtinId="4"/>
    <cellStyle name="Monétaire [0]" xfId="2" builtinId="7"/>
    <cellStyle name="Monétaire 2" xfId="6" xr:uid="{79653BBA-D6FA-436F-A941-E55BDC821266}"/>
    <cellStyle name="Monétaire 2 2" xfId="9" xr:uid="{DA6CA538-44C6-4EBB-814D-0EFE133C7DC7}"/>
    <cellStyle name="Monétaire 3" xfId="7" xr:uid="{8D1801E6-F460-48C6-89AF-29EB477C5DF9}"/>
    <cellStyle name="Monétaire 3 2" xfId="10" xr:uid="{FF23C851-C850-429E-8DB3-4241A3A865B7}"/>
    <cellStyle name="Monétaire 4" xfId="8" xr:uid="{64655985-A96B-441A-BF47-1E51532D69F0}"/>
    <cellStyle name="Normal" xfId="0" builtinId="0"/>
    <cellStyle name="Normal 2" xfId="5" xr:uid="{BDEE875A-641A-4782-8502-3C9AFBA9C93D}"/>
    <cellStyle name="Pourcentage" xfId="3" builtinId="5"/>
  </cellStyles>
  <dxfs count="21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  <fill>
        <patternFill>
          <fgColor rgb="FFFFFF00"/>
          <bgColor rgb="FFFFFF00"/>
        </patternFill>
      </fill>
    </dxf>
    <dxf>
      <font>
        <color rgb="FFFF0000"/>
      </font>
      <fill>
        <patternFill>
          <fgColor rgb="FFFFFF00"/>
          <bgColor rgb="FFFFFF00"/>
        </patternFill>
      </fill>
    </dxf>
    <dxf>
      <font>
        <color rgb="FFFF0000"/>
      </font>
      <fill>
        <patternFill>
          <fgColor rgb="FFFFFF00"/>
          <bgColor rgb="FFFFFF00"/>
        </patternFill>
      </fill>
    </dxf>
    <dxf>
      <fill>
        <patternFill>
          <bgColor theme="0" tint="-0.14996795556505021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9C0006"/>
      </font>
    </dxf>
    <dxf>
      <fill>
        <patternFill>
          <bgColor theme="0" tint="-0.14996795556505021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</dxfs>
  <tableStyles count="0" defaultTableStyle="TableStyleMedium9" defaultPivotStyle="PivotStyleLight16"/>
  <colors>
    <mruColors>
      <color rgb="FFF4750C"/>
      <color rgb="FFBFBFBF"/>
      <color rgb="FFFDE2CB"/>
      <color rgb="FFE1EB81"/>
      <color rgb="FFD5D297"/>
      <color rgb="FFFABF8F"/>
      <color rgb="FFF8A15A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Drop" dropLines="15" dropStyle="combo" dx="16" fmlaLink="$A$63" fmlaRange="$B$64:$B$66" noThreeD="1" sel="1" val="0"/>
</file>

<file path=xl/ctrlProps/ctrlProp2.xml><?xml version="1.0" encoding="utf-8"?>
<formControlPr xmlns="http://schemas.microsoft.com/office/spreadsheetml/2009/9/main" objectType="Drop" dropLines="4" dropStyle="combo" dx="16" fmlaLink="$I$63" fmlaRange="$K$64:$K$67" noThreeD="1" sel="4" val="0"/>
</file>

<file path=xl/ctrlProps/ctrlProp3.xml><?xml version="1.0" encoding="utf-8"?>
<formControlPr xmlns="http://schemas.microsoft.com/office/spreadsheetml/2009/9/main" objectType="Drop" dropLines="3" dropStyle="combo" dx="16" fmlaLink="$A$64" fmlaRange="$B$65:$B$67" noThreeD="1" sel="1" val="0"/>
</file>

<file path=xl/ctrlProps/ctrlProp4.xml><?xml version="1.0" encoding="utf-8"?>
<formControlPr xmlns="http://schemas.microsoft.com/office/spreadsheetml/2009/9/main" objectType="Drop" dropLines="3" dropStyle="combo" dx="16" fmlaLink="$I$64" fmlaRange="$K$65:$K$67" noThreeD="1" sel="1" val="0"/>
</file>

<file path=xl/ctrlProps/ctrlProp5.xml><?xml version="1.0" encoding="utf-8"?>
<formControlPr xmlns="http://schemas.microsoft.com/office/spreadsheetml/2009/9/main" objectType="Drop" dropLines="15" dropStyle="combo" dx="16" fmlaLink="$A$62" fmlaRange="$B$63:$B$68" noThreeD="1" sel="6" val="0"/>
</file>

<file path=xl/ctrlProps/ctrlProp6.xml><?xml version="1.0" encoding="utf-8"?>
<formControlPr xmlns="http://schemas.microsoft.com/office/spreadsheetml/2009/9/main" objectType="Drop" dropLines="5" dropStyle="combo" dx="16" fmlaLink="$A$65" fmlaRange="$I$63:$J$67" noThreeD="1" sel="5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4</xdr:row>
          <xdr:rowOff>9525</xdr:rowOff>
        </xdr:from>
        <xdr:to>
          <xdr:col>5</xdr:col>
          <xdr:colOff>304800</xdr:colOff>
          <xdr:row>5</xdr:row>
          <xdr:rowOff>9525</xdr:rowOff>
        </xdr:to>
        <xdr:sp macro="" textlink="">
          <xdr:nvSpPr>
            <xdr:cNvPr id="1100" name="Drop Down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847725</xdr:colOff>
          <xdr:row>12</xdr:row>
          <xdr:rowOff>38100</xdr:rowOff>
        </xdr:from>
        <xdr:to>
          <xdr:col>3</xdr:col>
          <xdr:colOff>914400</xdr:colOff>
          <xdr:row>12</xdr:row>
          <xdr:rowOff>371475</xdr:rowOff>
        </xdr:to>
        <xdr:sp macro="" textlink="">
          <xdr:nvSpPr>
            <xdr:cNvPr id="1115" name="Drop Down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0</xdr:col>
      <xdr:colOff>133387</xdr:colOff>
      <xdr:row>0</xdr:row>
      <xdr:rowOff>53379</xdr:rowOff>
    </xdr:from>
    <xdr:to>
      <xdr:col>1</xdr:col>
      <xdr:colOff>299221</xdr:colOff>
      <xdr:row>0</xdr:row>
      <xdr:rowOff>810808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87" y="53379"/>
          <a:ext cx="735429" cy="7574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4</xdr:row>
          <xdr:rowOff>9525</xdr:rowOff>
        </xdr:from>
        <xdr:to>
          <xdr:col>5</xdr:col>
          <xdr:colOff>342900</xdr:colOff>
          <xdr:row>5</xdr:row>
          <xdr:rowOff>9525</xdr:rowOff>
        </xdr:to>
        <xdr:sp macro="" textlink="">
          <xdr:nvSpPr>
            <xdr:cNvPr id="8193" name="Drop Dow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12</xdr:row>
          <xdr:rowOff>38100</xdr:rowOff>
        </xdr:from>
        <xdr:to>
          <xdr:col>3</xdr:col>
          <xdr:colOff>962025</xdr:colOff>
          <xdr:row>12</xdr:row>
          <xdr:rowOff>371475</xdr:rowOff>
        </xdr:to>
        <xdr:sp macro="" textlink="">
          <xdr:nvSpPr>
            <xdr:cNvPr id="8194" name="Drop Dow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1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0</xdr:col>
      <xdr:colOff>133387</xdr:colOff>
      <xdr:row>0</xdr:row>
      <xdr:rowOff>53379</xdr:rowOff>
    </xdr:from>
    <xdr:to>
      <xdr:col>1</xdr:col>
      <xdr:colOff>202066</xdr:colOff>
      <xdr:row>0</xdr:row>
      <xdr:rowOff>810808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87" y="53379"/>
          <a:ext cx="735429" cy="7574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</xdr:row>
          <xdr:rowOff>57150</xdr:rowOff>
        </xdr:from>
        <xdr:to>
          <xdr:col>4</xdr:col>
          <xdr:colOff>781050</xdr:colOff>
          <xdr:row>5</xdr:row>
          <xdr:rowOff>9525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1590675</xdr:colOff>
          <xdr:row>12</xdr:row>
          <xdr:rowOff>9525</xdr:rowOff>
        </xdr:from>
        <xdr:to>
          <xdr:col>4</xdr:col>
          <xdr:colOff>9525</xdr:colOff>
          <xdr:row>13</xdr:row>
          <xdr:rowOff>19050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</xdr:col>
      <xdr:colOff>15240</xdr:colOff>
      <xdr:row>0</xdr:row>
      <xdr:rowOff>859515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33450" cy="847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3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W105"/>
  <sheetViews>
    <sheetView tabSelected="1" zoomScaleNormal="100" zoomScaleSheetLayoutView="100" workbookViewId="0">
      <selection activeCell="E7" sqref="E7"/>
    </sheetView>
  </sheetViews>
  <sheetFormatPr baseColWidth="10" defaultColWidth="8.88671875" defaultRowHeight="15" x14ac:dyDescent="0.2"/>
  <cols>
    <col min="1" max="1" width="6.6640625" style="5" customWidth="1"/>
    <col min="2" max="2" width="18.6640625" style="7" customWidth="1"/>
    <col min="3" max="15" width="12.77734375" style="5" customWidth="1"/>
    <col min="16" max="16" width="8.88671875" style="5" customWidth="1"/>
    <col min="17" max="17" width="8.88671875" style="5"/>
    <col min="18" max="18" width="9.6640625" style="5" bestFit="1" customWidth="1"/>
    <col min="19" max="20" width="8.88671875" style="5"/>
    <col min="21" max="21" width="8.88671875" style="5" customWidth="1"/>
    <col min="22" max="24" width="8.88671875" style="5" hidden="1" customWidth="1"/>
    <col min="25" max="25" width="0" style="5" hidden="1" customWidth="1"/>
    <col min="26" max="41" width="8.88671875" style="5"/>
    <col min="42" max="16384" width="8.88671875" style="209"/>
  </cols>
  <sheetData>
    <row r="1" spans="1:47" ht="70.150000000000006" customHeight="1" thickBot="1" x14ac:dyDescent="0.25">
      <c r="A1" s="6"/>
      <c r="B1" s="207"/>
      <c r="C1" s="208"/>
      <c r="D1" s="506" t="s">
        <v>194</v>
      </c>
      <c r="E1" s="506"/>
      <c r="F1" s="506"/>
      <c r="G1" s="506"/>
      <c r="H1" s="506"/>
      <c r="I1" s="506"/>
      <c r="J1" s="506"/>
      <c r="K1" s="506"/>
      <c r="AP1" s="213"/>
      <c r="AQ1" s="213"/>
      <c r="AR1" s="213"/>
      <c r="AS1" s="213"/>
      <c r="AT1" s="213"/>
      <c r="AU1" s="213"/>
    </row>
    <row r="2" spans="1:47" s="210" customFormat="1" ht="31.5" customHeight="1" thickBot="1" x14ac:dyDescent="0.25">
      <c r="A2" s="123" t="s">
        <v>0</v>
      </c>
      <c r="B2" s="511"/>
      <c r="C2" s="512"/>
      <c r="D2" s="513"/>
      <c r="E2" s="36" t="s">
        <v>1</v>
      </c>
      <c r="F2" s="515"/>
      <c r="G2" s="516"/>
      <c r="H2" s="514" t="s">
        <v>174</v>
      </c>
      <c r="I2" s="514"/>
      <c r="J2" s="509"/>
      <c r="K2" s="510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236"/>
      <c r="AO2" s="236"/>
      <c r="AP2" s="236"/>
      <c r="AQ2" s="236"/>
      <c r="AR2" s="236"/>
      <c r="AS2" s="236"/>
      <c r="AT2" s="236"/>
      <c r="AU2" s="236"/>
    </row>
    <row r="3" spans="1:47" s="210" customFormat="1" ht="21" x14ac:dyDescent="0.2">
      <c r="A3" s="124" t="s">
        <v>3</v>
      </c>
      <c r="B3" s="121"/>
      <c r="C3" s="122"/>
      <c r="D3" s="10"/>
      <c r="E3" s="237"/>
      <c r="F3" s="11"/>
      <c r="G3" s="12"/>
      <c r="H3" s="237"/>
      <c r="I3" s="11"/>
      <c r="J3" s="13"/>
      <c r="K3" s="13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236"/>
      <c r="AP3" s="236"/>
      <c r="AQ3" s="236"/>
      <c r="AR3" s="236"/>
      <c r="AS3" s="236"/>
      <c r="AT3" s="236"/>
      <c r="AU3" s="236"/>
    </row>
    <row r="4" spans="1:47" x14ac:dyDescent="0.2">
      <c r="A4" s="13"/>
      <c r="B4" s="31"/>
      <c r="C4" s="32"/>
      <c r="D4" s="14"/>
      <c r="E4" s="14"/>
      <c r="F4" s="14"/>
      <c r="G4" s="15"/>
      <c r="H4" s="16"/>
      <c r="I4" s="213"/>
      <c r="K4" s="213"/>
      <c r="AP4" s="213"/>
      <c r="AQ4" s="213"/>
      <c r="AR4" s="213"/>
      <c r="AS4" s="213"/>
      <c r="AT4" s="213"/>
      <c r="AU4" s="213"/>
    </row>
    <row r="5" spans="1:47" ht="30" customHeight="1" x14ac:dyDescent="0.2">
      <c r="A5" s="507" t="s">
        <v>4</v>
      </c>
      <c r="B5" s="508"/>
      <c r="C5" s="238"/>
      <c r="D5" s="238"/>
      <c r="E5" s="238"/>
      <c r="F5" s="239"/>
      <c r="G5" s="213"/>
      <c r="M5" s="213"/>
      <c r="AP5" s="213"/>
      <c r="AQ5" s="213"/>
      <c r="AR5" s="213"/>
      <c r="AS5" s="213"/>
      <c r="AT5" s="213"/>
      <c r="AU5" s="213"/>
    </row>
    <row r="6" spans="1:47" ht="11.25" customHeight="1" x14ac:dyDescent="0.2">
      <c r="A6" s="33"/>
      <c r="B6" s="34"/>
      <c r="C6" s="238"/>
      <c r="D6" s="238"/>
      <c r="E6" s="238"/>
      <c r="F6" s="239"/>
      <c r="G6" s="213"/>
      <c r="M6" s="213"/>
      <c r="AP6" s="213"/>
      <c r="AQ6" s="213"/>
      <c r="AR6" s="213"/>
      <c r="AS6" s="213"/>
      <c r="AT6" s="213"/>
      <c r="AU6" s="213"/>
    </row>
    <row r="7" spans="1:47" s="212" customFormat="1" ht="30" customHeight="1" x14ac:dyDescent="0.2">
      <c r="A7" s="17"/>
      <c r="B7" s="23"/>
      <c r="C7" s="494" t="s">
        <v>5</v>
      </c>
      <c r="D7" s="496"/>
      <c r="E7" s="265"/>
      <c r="F7" s="110" t="s">
        <v>6</v>
      </c>
      <c r="G7" s="127"/>
      <c r="H7" s="110" t="s">
        <v>7</v>
      </c>
      <c r="I7" s="127"/>
      <c r="J7" s="111" t="s">
        <v>8</v>
      </c>
      <c r="K7" s="128">
        <f>(G7*I7)/60</f>
        <v>0</v>
      </c>
      <c r="L7" s="211"/>
      <c r="M7" s="5"/>
      <c r="N7" s="5"/>
      <c r="O7" s="5"/>
      <c r="P7" s="5"/>
      <c r="Q7" s="18"/>
      <c r="R7" s="18"/>
      <c r="S7" s="18"/>
      <c r="T7" s="18"/>
      <c r="U7" s="18"/>
      <c r="V7" s="18"/>
      <c r="W7" s="19"/>
      <c r="X7" s="19"/>
      <c r="Y7" s="18"/>
      <c r="Z7" s="21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</row>
    <row r="8" spans="1:47" x14ac:dyDescent="0.2">
      <c r="A8" s="13"/>
      <c r="B8" s="31"/>
      <c r="C8" s="32"/>
      <c r="D8" s="14"/>
      <c r="E8" s="279"/>
      <c r="F8" s="14"/>
      <c r="G8" s="15"/>
      <c r="H8" s="31"/>
      <c r="I8" s="15"/>
      <c r="J8" s="15"/>
      <c r="K8" s="129"/>
      <c r="L8" s="15"/>
      <c r="AP8" s="213"/>
      <c r="AQ8" s="213"/>
      <c r="AR8" s="213"/>
      <c r="AS8" s="213"/>
      <c r="AT8" s="213"/>
      <c r="AU8" s="213"/>
    </row>
    <row r="9" spans="1:47" s="212" customFormat="1" ht="15.75" x14ac:dyDescent="0.2">
      <c r="A9" s="17"/>
      <c r="B9" s="23"/>
      <c r="C9" s="32"/>
      <c r="D9" s="14"/>
      <c r="E9" s="279"/>
      <c r="F9" s="14"/>
      <c r="G9" s="14"/>
      <c r="L9" s="31"/>
      <c r="M9" s="31"/>
      <c r="N9" s="31"/>
      <c r="O9" s="211"/>
      <c r="P9" s="5"/>
      <c r="Q9" s="5"/>
      <c r="R9" s="5"/>
      <c r="S9" s="5"/>
      <c r="T9" s="18"/>
      <c r="U9" s="18"/>
      <c r="V9" s="18"/>
      <c r="W9" s="18"/>
      <c r="X9" s="18"/>
      <c r="Y9" s="18"/>
      <c r="Z9" s="19"/>
      <c r="AA9" s="19"/>
      <c r="AB9" s="18"/>
      <c r="AC9" s="21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</row>
    <row r="10" spans="1:47" s="212" customFormat="1" ht="30" customHeight="1" x14ac:dyDescent="0.2">
      <c r="A10" s="17"/>
      <c r="B10" s="23"/>
      <c r="C10" s="494" t="s">
        <v>9</v>
      </c>
      <c r="D10" s="495"/>
      <c r="E10" s="265"/>
      <c r="F10" s="35">
        <f>IF(E10="Yes",60%,49%)</f>
        <v>0.49</v>
      </c>
      <c r="G10" s="31"/>
      <c r="H10" s="211"/>
      <c r="I10" s="211"/>
      <c r="J10" s="112" t="s">
        <v>11</v>
      </c>
      <c r="K10" s="130">
        <f>IF($K$7=0,0,$E$7/$K$7)</f>
        <v>0</v>
      </c>
      <c r="L10" s="16"/>
      <c r="M10" s="31"/>
      <c r="N10" s="31"/>
      <c r="O10" s="211"/>
      <c r="P10" s="5"/>
      <c r="Q10" s="5"/>
      <c r="R10" s="5"/>
      <c r="S10" s="5"/>
      <c r="T10" s="18"/>
      <c r="U10" s="18"/>
      <c r="V10" s="18"/>
      <c r="W10" s="18"/>
      <c r="X10" s="18"/>
      <c r="Y10" s="18"/>
      <c r="Z10" s="19"/>
      <c r="AA10" s="19"/>
      <c r="AB10" s="18"/>
      <c r="AC10" s="21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</row>
    <row r="11" spans="1:47" s="212" customFormat="1" ht="25.9" hidden="1" customHeight="1" x14ac:dyDescent="0.2">
      <c r="A11" s="13"/>
      <c r="B11" s="31"/>
      <c r="C11"/>
      <c r="D11"/>
      <c r="E11" s="280"/>
      <c r="F11"/>
      <c r="G11"/>
      <c r="H11" s="17"/>
      <c r="L11" s="16"/>
      <c r="M11" s="31"/>
      <c r="N11" s="31"/>
      <c r="O11" s="211"/>
      <c r="P11" s="5"/>
      <c r="Q11" s="5"/>
      <c r="R11" s="5"/>
      <c r="S11" s="5"/>
      <c r="T11" s="18"/>
      <c r="U11" s="18"/>
      <c r="V11" s="18"/>
      <c r="W11" s="18"/>
      <c r="X11" s="18"/>
      <c r="Y11" s="18"/>
      <c r="Z11" s="19"/>
      <c r="AA11" s="19"/>
      <c r="AB11" s="18"/>
      <c r="AC11" s="21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</row>
    <row r="12" spans="1:47" ht="30" customHeight="1" x14ac:dyDescent="0.2">
      <c r="A12" s="29"/>
      <c r="B12" s="23"/>
      <c r="C12" s="494" t="s">
        <v>12</v>
      </c>
      <c r="D12" s="495"/>
      <c r="E12" s="281"/>
      <c r="F12" s="15"/>
      <c r="G12" s="15"/>
      <c r="H12" s="213"/>
      <c r="I12" s="213"/>
      <c r="J12" s="213"/>
      <c r="K12" s="213"/>
      <c r="L12" s="14"/>
      <c r="M12" s="14"/>
      <c r="N12" s="15"/>
      <c r="AP12" s="5"/>
      <c r="AQ12" s="5"/>
      <c r="AR12" s="5"/>
      <c r="AS12" s="213"/>
      <c r="AT12" s="213"/>
      <c r="AU12" s="213"/>
    </row>
    <row r="13" spans="1:47" ht="30" customHeight="1" x14ac:dyDescent="0.2">
      <c r="A13" s="30"/>
      <c r="B13" s="23"/>
      <c r="C13" s="213"/>
      <c r="D13" s="213"/>
      <c r="E13" s="265"/>
      <c r="H13" s="213"/>
      <c r="I13" s="489" t="s">
        <v>210</v>
      </c>
      <c r="J13" s="490"/>
      <c r="K13" s="405" t="str">
        <f>IF(OR(K10=0,N(E$7)=0),"",IF(K10&gt;=400000,"Yes","No"))</f>
        <v/>
      </c>
      <c r="L13" s="406" t="str">
        <f>IFERROR(IF(K13="Yes","N/A to animated productions",""),"")</f>
        <v/>
      </c>
      <c r="M13" s="15"/>
      <c r="N13" s="16"/>
      <c r="AP13" s="5"/>
      <c r="AQ13" s="5"/>
      <c r="AR13" s="5"/>
      <c r="AS13" s="5"/>
      <c r="AT13" s="5"/>
      <c r="AU13" s="5"/>
    </row>
    <row r="14" spans="1:47" ht="29.45" customHeight="1" x14ac:dyDescent="0.2">
      <c r="A14" s="491" t="str">
        <f>IF(I$63=2,"Are the AMI Applicant’s development and production projects that received CMF funding mainly and predominantly in the English language?","")</f>
        <v/>
      </c>
      <c r="B14" s="492"/>
      <c r="C14" s="492"/>
      <c r="D14" s="493"/>
      <c r="E14" s="281"/>
      <c r="G14" s="15"/>
      <c r="I14" s="502" t="s">
        <v>208</v>
      </c>
      <c r="J14" s="503"/>
      <c r="K14" s="128" t="str">
        <f>IF(N(E$7)=0,"",IF(E$7&gt;500000,"Yes","No"))</f>
        <v/>
      </c>
      <c r="L14" s="406" t="str">
        <f>IFERROR(IF(K14="Yes","N/A to live-to-air productions",""),"")</f>
        <v/>
      </c>
      <c r="O14" s="26"/>
      <c r="AN14" s="213"/>
      <c r="AO14" s="213"/>
      <c r="AP14" s="213"/>
      <c r="AQ14" s="213"/>
      <c r="AR14" s="213"/>
      <c r="AS14" s="213"/>
      <c r="AT14" s="213"/>
      <c r="AU14" s="213"/>
    </row>
    <row r="15" spans="1:47" ht="31.5" customHeight="1" x14ac:dyDescent="0.2">
      <c r="A15" s="213"/>
      <c r="B15" s="5"/>
      <c r="C15" s="499" t="s">
        <v>175</v>
      </c>
      <c r="D15" s="500"/>
      <c r="E15" s="281"/>
      <c r="G15" s="213"/>
      <c r="J15" s="214"/>
      <c r="K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</row>
    <row r="16" spans="1:47" ht="24.95" customHeight="1" x14ac:dyDescent="0.2">
      <c r="A16" s="213"/>
      <c r="B16" s="5"/>
      <c r="C16" s="499" t="s">
        <v>176</v>
      </c>
      <c r="D16" s="500"/>
      <c r="E16" s="283">
        <f>C29-E17</f>
        <v>0</v>
      </c>
      <c r="G16" s="213"/>
      <c r="K16" s="26"/>
      <c r="N16" s="214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</row>
    <row r="17" spans="1:41" ht="24.95" customHeight="1" x14ac:dyDescent="0.2">
      <c r="A17" s="213"/>
      <c r="B17" s="5"/>
      <c r="C17" s="491" t="s">
        <v>171</v>
      </c>
      <c r="D17" s="500"/>
      <c r="E17" s="265"/>
      <c r="G17" s="213"/>
      <c r="K17" s="26"/>
      <c r="AJ17" s="213"/>
      <c r="AK17" s="213"/>
      <c r="AL17" s="213"/>
      <c r="AM17" s="213"/>
      <c r="AN17" s="213"/>
      <c r="AO17" s="213"/>
    </row>
    <row r="18" spans="1:41" s="213" customFormat="1" ht="17.25" customHeight="1" x14ac:dyDescent="0.2">
      <c r="B18" s="254"/>
      <c r="C18" s="251"/>
      <c r="D18" s="255"/>
      <c r="E18" s="256"/>
      <c r="F18" s="5"/>
      <c r="H18" s="5"/>
      <c r="I18" s="5"/>
      <c r="J18" s="5"/>
      <c r="K18" s="26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</row>
    <row r="19" spans="1:41" s="213" customFormat="1" ht="16.5" customHeight="1" x14ac:dyDescent="0.2">
      <c r="A19" s="253" t="s">
        <v>195</v>
      </c>
      <c r="B19" s="257"/>
      <c r="C19" s="257"/>
      <c r="D19" s="257"/>
      <c r="E19" s="257"/>
      <c r="F19" s="257"/>
      <c r="G19" s="258"/>
      <c r="H19" s="258"/>
      <c r="I19" s="258"/>
      <c r="J19" s="211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</row>
    <row r="20" spans="1:41" s="213" customFormat="1" ht="15" customHeight="1" x14ac:dyDescent="0.2">
      <c r="A20" s="249" t="s">
        <v>196</v>
      </c>
      <c r="B20" s="259"/>
      <c r="C20" s="259"/>
      <c r="D20" s="259"/>
      <c r="E20" s="259"/>
      <c r="F20" s="259"/>
      <c r="G20" s="260"/>
      <c r="H20" s="241"/>
      <c r="I20" s="228" t="s">
        <v>233</v>
      </c>
      <c r="J20" s="222"/>
      <c r="K20" s="223"/>
      <c r="L20" s="26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</row>
    <row r="21" spans="1:41" s="213" customFormat="1" ht="60" customHeight="1" x14ac:dyDescent="0.2">
      <c r="A21" s="504" t="s">
        <v>240</v>
      </c>
      <c r="B21" s="505"/>
      <c r="C21" s="173" t="s">
        <v>181</v>
      </c>
      <c r="D21" s="454" t="s">
        <v>245</v>
      </c>
      <c r="E21" s="174" t="s">
        <v>182</v>
      </c>
      <c r="F21" s="174" t="s">
        <v>244</v>
      </c>
      <c r="G21" s="101" t="s">
        <v>205</v>
      </c>
      <c r="H21" s="388" t="s">
        <v>13</v>
      </c>
      <c r="I21" s="101" t="s">
        <v>14</v>
      </c>
      <c r="J21" s="101" t="s">
        <v>197</v>
      </c>
      <c r="K21" s="101" t="s">
        <v>15</v>
      </c>
      <c r="L21" s="26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</row>
    <row r="22" spans="1:41" s="68" customFormat="1" ht="18" customHeight="1" x14ac:dyDescent="0.2">
      <c r="A22" s="264"/>
      <c r="B22" s="250" t="s">
        <v>31</v>
      </c>
      <c r="C22" s="283">
        <f>E17</f>
        <v>0</v>
      </c>
      <c r="D22" s="408"/>
      <c r="E22" s="409"/>
      <c r="F22" s="409"/>
      <c r="G22" s="409"/>
      <c r="H22" s="409"/>
      <c r="I22" s="409"/>
      <c r="J22" s="409"/>
      <c r="K22" s="410"/>
      <c r="L22" s="217"/>
      <c r="M22" s="217"/>
      <c r="N22" s="51"/>
      <c r="O22" s="217"/>
      <c r="P22" s="217"/>
      <c r="Q22" s="217"/>
      <c r="R22" s="217"/>
      <c r="S22" s="217"/>
      <c r="T22" s="217"/>
      <c r="U22" s="217"/>
      <c r="V22" s="217"/>
      <c r="W22" s="217"/>
      <c r="X22" s="217"/>
      <c r="Y22" s="217"/>
      <c r="Z22" s="217"/>
      <c r="AA22" s="217"/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</row>
    <row r="23" spans="1:41" s="68" customFormat="1" ht="15.75" x14ac:dyDescent="0.2">
      <c r="A23" s="101" t="s">
        <v>16</v>
      </c>
      <c r="B23" s="131"/>
      <c r="C23" s="265"/>
      <c r="D23" s="265"/>
      <c r="E23" s="261"/>
      <c r="F23" s="261"/>
      <c r="G23" s="269"/>
      <c r="H23" s="407">
        <f t="shared" ref="H23:H28" si="0">DATE(YEAR(G23),(MONTH(G23)+I23),DAY(G23))</f>
        <v>0</v>
      </c>
      <c r="I23" s="270"/>
      <c r="J23" s="270"/>
      <c r="K23" s="270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</row>
    <row r="24" spans="1:41" s="68" customFormat="1" ht="15.75" x14ac:dyDescent="0.2">
      <c r="A24" s="101" t="s">
        <v>17</v>
      </c>
      <c r="B24" s="131"/>
      <c r="C24" s="265"/>
      <c r="D24" s="265"/>
      <c r="E24" s="267"/>
      <c r="F24" s="267"/>
      <c r="G24" s="269"/>
      <c r="H24" s="407">
        <f t="shared" si="0"/>
        <v>0</v>
      </c>
      <c r="I24" s="270"/>
      <c r="J24" s="270"/>
      <c r="K24" s="270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</row>
    <row r="25" spans="1:41" s="68" customFormat="1" ht="15.75" x14ac:dyDescent="0.2">
      <c r="A25" s="101" t="s">
        <v>18</v>
      </c>
      <c r="B25" s="131"/>
      <c r="C25" s="265"/>
      <c r="D25" s="265"/>
      <c r="E25" s="267"/>
      <c r="F25" s="267"/>
      <c r="G25" s="269"/>
      <c r="H25" s="407">
        <f t="shared" si="0"/>
        <v>0</v>
      </c>
      <c r="I25" s="270"/>
      <c r="J25" s="270"/>
      <c r="K25" s="270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</row>
    <row r="26" spans="1:41" s="68" customFormat="1" ht="15.75" x14ac:dyDescent="0.2">
      <c r="A26" s="101" t="s">
        <v>19</v>
      </c>
      <c r="B26" s="131"/>
      <c r="C26" s="265"/>
      <c r="D26" s="265"/>
      <c r="E26" s="267"/>
      <c r="F26" s="267"/>
      <c r="G26" s="269"/>
      <c r="H26" s="407">
        <f t="shared" si="0"/>
        <v>0</v>
      </c>
      <c r="I26" s="270"/>
      <c r="J26" s="270"/>
      <c r="K26" s="270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</row>
    <row r="27" spans="1:41" s="68" customFormat="1" ht="15.75" x14ac:dyDescent="0.2">
      <c r="A27" s="101" t="s">
        <v>20</v>
      </c>
      <c r="B27" s="131"/>
      <c r="C27" s="265"/>
      <c r="D27" s="265"/>
      <c r="E27" s="267"/>
      <c r="F27" s="267"/>
      <c r="G27" s="269"/>
      <c r="H27" s="407">
        <f t="shared" si="0"/>
        <v>0</v>
      </c>
      <c r="I27" s="270"/>
      <c r="J27" s="270"/>
      <c r="K27" s="270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</row>
    <row r="28" spans="1:41" s="68" customFormat="1" ht="16.5" thickBot="1" x14ac:dyDescent="0.25">
      <c r="A28" s="101" t="s">
        <v>21</v>
      </c>
      <c r="B28" s="135"/>
      <c r="C28" s="266"/>
      <c r="D28" s="266"/>
      <c r="E28" s="268"/>
      <c r="F28" s="267"/>
      <c r="G28" s="269"/>
      <c r="H28" s="407">
        <f t="shared" si="0"/>
        <v>0</v>
      </c>
      <c r="I28" s="270"/>
      <c r="J28" s="270"/>
      <c r="K28" s="270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</row>
    <row r="29" spans="1:41" s="68" customFormat="1" ht="16.5" thickBot="1" x14ac:dyDescent="0.25">
      <c r="A29" s="501" t="s">
        <v>22</v>
      </c>
      <c r="B29" s="501"/>
      <c r="C29" s="284">
        <f>SUM(C22:C28)</f>
        <v>0</v>
      </c>
      <c r="D29" s="284">
        <f>SUM(D23:D28)</f>
        <v>0</v>
      </c>
      <c r="E29" s="284">
        <f>SUM(E23:E28)</f>
        <v>0</v>
      </c>
      <c r="F29" s="284">
        <f>SUM(F23:F28)</f>
        <v>0</v>
      </c>
      <c r="G29" s="274"/>
      <c r="H29" s="274"/>
      <c r="I29" s="274"/>
      <c r="J29" s="274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</row>
    <row r="30" spans="1:41" s="68" customFormat="1" ht="14.25" customHeight="1" x14ac:dyDescent="0.2">
      <c r="A30" s="43"/>
      <c r="B30" s="44"/>
      <c r="C30" s="275"/>
      <c r="D30" s="275"/>
      <c r="E30" s="275"/>
      <c r="F30" s="275"/>
      <c r="G30" s="276"/>
      <c r="H30" s="276"/>
      <c r="I30" s="277"/>
      <c r="J30" s="278"/>
      <c r="K30" s="48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</row>
    <row r="31" spans="1:41" s="68" customFormat="1" ht="25.5" customHeight="1" x14ac:dyDescent="0.2">
      <c r="A31" s="497" t="s">
        <v>23</v>
      </c>
      <c r="B31" s="535"/>
      <c r="C31" s="536"/>
      <c r="D31" s="536"/>
      <c r="E31" s="536"/>
      <c r="F31" s="536"/>
      <c r="G31" s="536"/>
      <c r="H31" s="536"/>
      <c r="I31" s="536"/>
      <c r="J31" s="536"/>
      <c r="K31" s="537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</row>
    <row r="32" spans="1:41" s="68" customFormat="1" ht="25.5" customHeight="1" x14ac:dyDescent="0.2">
      <c r="A32" s="498"/>
      <c r="B32" s="538"/>
      <c r="C32" s="539"/>
      <c r="D32" s="539"/>
      <c r="E32" s="539"/>
      <c r="F32" s="539"/>
      <c r="G32" s="539"/>
      <c r="H32" s="539"/>
      <c r="I32" s="539"/>
      <c r="J32" s="539"/>
      <c r="K32" s="540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</row>
    <row r="33" spans="1:42" s="68" customFormat="1" ht="15.75" customHeight="1" x14ac:dyDescent="0.2">
      <c r="A33" s="49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</row>
    <row r="34" spans="1:42" s="68" customFormat="1" ht="18.75" customHeight="1" x14ac:dyDescent="0.2">
      <c r="A34" s="52" t="s">
        <v>203</v>
      </c>
      <c r="B34" s="53"/>
      <c r="C34" s="54"/>
      <c r="D34" s="55"/>
      <c r="E34" s="55"/>
      <c r="F34" s="55"/>
      <c r="G34" s="56"/>
      <c r="H34" s="547" t="s">
        <v>216</v>
      </c>
      <c r="I34" s="548"/>
      <c r="J34" s="56"/>
      <c r="K34" s="219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</row>
    <row r="35" spans="1:42" s="215" customFormat="1" ht="60" customHeight="1" x14ac:dyDescent="0.2">
      <c r="A35" s="504" t="s">
        <v>241</v>
      </c>
      <c r="B35" s="505"/>
      <c r="C35" s="411" t="s">
        <v>24</v>
      </c>
      <c r="D35" s="411" t="s">
        <v>224</v>
      </c>
      <c r="E35" s="412" t="s">
        <v>25</v>
      </c>
      <c r="F35" s="412" t="s">
        <v>26</v>
      </c>
      <c r="G35" s="413" t="s">
        <v>242</v>
      </c>
      <c r="H35" s="413" t="s">
        <v>230</v>
      </c>
      <c r="I35" s="413" t="s">
        <v>243</v>
      </c>
      <c r="J35" s="413" t="s">
        <v>217</v>
      </c>
      <c r="K35" s="414" t="s">
        <v>27</v>
      </c>
      <c r="L35" s="414" t="s">
        <v>215</v>
      </c>
      <c r="M35" s="104"/>
      <c r="N35" s="104"/>
      <c r="O35" s="104"/>
      <c r="P35" s="104"/>
      <c r="Q35" s="104"/>
      <c r="R35" s="104"/>
      <c r="S35" s="104"/>
      <c r="T35" s="104"/>
      <c r="U35" s="104"/>
      <c r="V35" s="101" t="s">
        <v>28</v>
      </c>
      <c r="W35" s="101" t="s">
        <v>29</v>
      </c>
      <c r="X35" s="103" t="s">
        <v>30</v>
      </c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</row>
    <row r="36" spans="1:42" s="68" customFormat="1" ht="15.75" x14ac:dyDescent="0.2">
      <c r="A36" s="291"/>
      <c r="B36" s="415" t="s">
        <v>31</v>
      </c>
      <c r="C36" s="416">
        <f>IF($E$43-(E$7*20%)&lt;100000,E36,IF((E$7*20%)&lt;MIN(E17,G79:G80),ROUND(E$7*20%,0),MIN(E17,G79:G80)))</f>
        <v>0</v>
      </c>
      <c r="D36" s="416">
        <f t="shared" ref="D36:D43" si="1">E36-C36</f>
        <v>0</v>
      </c>
      <c r="E36" s="416">
        <f>IF(MAX(G$79:G$80)&lt;E17,MAX(G$79:G$80),(E17))</f>
        <v>0</v>
      </c>
      <c r="F36" s="418" t="str">
        <f t="shared" ref="F36:F42" si="2">IF($E$7=0,"",(C36+D36)/$E$7)</f>
        <v/>
      </c>
      <c r="G36" s="471"/>
      <c r="H36" s="472"/>
      <c r="I36" s="472"/>
      <c r="J36" s="472"/>
      <c r="K36" s="472"/>
      <c r="L36" s="473"/>
      <c r="M36" s="51"/>
      <c r="N36" s="51"/>
      <c r="O36" s="51"/>
      <c r="P36" s="51"/>
      <c r="Q36" s="51"/>
      <c r="R36" s="51"/>
      <c r="S36" s="51"/>
      <c r="T36" s="51"/>
      <c r="U36" s="51"/>
      <c r="V36" s="79"/>
      <c r="W36" s="79"/>
      <c r="X36" s="79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</row>
    <row r="37" spans="1:42" s="68" customFormat="1" ht="15.75" x14ac:dyDescent="0.2">
      <c r="A37" s="316" t="s">
        <v>16</v>
      </c>
      <c r="B37" s="298">
        <f>$B$23</f>
        <v>0</v>
      </c>
      <c r="C37" s="416">
        <f>IF(($C$43-$C$36)&gt;0,ROUND((E37/($E$43-$E$36)*($C$43-$C$36)),0),0)</f>
        <v>0</v>
      </c>
      <c r="D37" s="416">
        <f t="shared" si="1"/>
        <v>0</v>
      </c>
      <c r="E37" s="416">
        <f>IF($E$16&gt;0,ROUND(C23/($C$29-$C$22)*($E$43-$E$36),0),0)</f>
        <v>0</v>
      </c>
      <c r="F37" s="418" t="str">
        <f t="shared" si="2"/>
        <v/>
      </c>
      <c r="G37" s="465">
        <f>$H$49</f>
        <v>0</v>
      </c>
      <c r="H37" s="300" t="s">
        <v>32</v>
      </c>
      <c r="I37" s="300" t="s">
        <v>32</v>
      </c>
      <c r="J37" s="418" t="str">
        <f>IF($E$7=0,"",(G37+N(H37)+N(I37))/$E$7)</f>
        <v/>
      </c>
      <c r="K37" s="300"/>
      <c r="L37" s="296">
        <f>MAX(D23+E23+F23-G37-N(H37)-N(I37),0)</f>
        <v>0</v>
      </c>
      <c r="M37" s="51"/>
      <c r="N37" s="51"/>
      <c r="O37" s="51"/>
      <c r="P37" s="51"/>
      <c r="Q37" s="51"/>
      <c r="R37" s="51"/>
      <c r="S37" s="51"/>
      <c r="T37" s="51"/>
      <c r="U37" s="51"/>
      <c r="V37" s="79">
        <f>IF(I23&lt;72,I23,72)</f>
        <v>0</v>
      </c>
      <c r="W37" s="79">
        <f t="shared" ref="W37:W42" si="3">J23</f>
        <v>0</v>
      </c>
      <c r="X37" s="79" t="s">
        <v>32</v>
      </c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</row>
    <row r="38" spans="1:42" s="68" customFormat="1" ht="15.75" x14ac:dyDescent="0.2">
      <c r="A38" s="316" t="s">
        <v>17</v>
      </c>
      <c r="B38" s="298">
        <f>$B$24</f>
        <v>0</v>
      </c>
      <c r="C38" s="416">
        <f t="shared" ref="C38:C41" si="4">IF(($C$43-$C$36)&gt;0,ROUND((E38/($E$43-$E$36)*($C$43-$C$36)),0),0)</f>
        <v>0</v>
      </c>
      <c r="D38" s="416">
        <f t="shared" si="1"/>
        <v>0</v>
      </c>
      <c r="E38" s="416">
        <f>IF($E$16&gt;0,ROUND(C24/($C$29-$C$22)*($E$43-$E$36),0),0)</f>
        <v>0</v>
      </c>
      <c r="F38" s="418" t="str">
        <f t="shared" si="2"/>
        <v/>
      </c>
      <c r="G38" s="417">
        <f>$H$51</f>
        <v>0</v>
      </c>
      <c r="H38" s="296" t="str">
        <f>IF(AND(E24=0,E$29&gt;=H$43),"",ROUND((E24*H$43/E$29),0))</f>
        <v/>
      </c>
      <c r="I38" s="296" t="str">
        <f>IF(F$29=0,"",ROUND((F24*I$43/F$29),0))</f>
        <v/>
      </c>
      <c r="J38" s="418" t="str">
        <f t="shared" ref="J38:J42" si="5">IF($E$7=0,"",(G38+N(H38)+N(I38))/$E$7)</f>
        <v/>
      </c>
      <c r="K38" s="300"/>
      <c r="L38" s="296">
        <f>MAX(D24+E24+F24-G38-N(H38)-N(I38),0)</f>
        <v>0</v>
      </c>
      <c r="M38" s="51"/>
      <c r="N38" s="51"/>
      <c r="O38" s="51"/>
      <c r="P38" s="51"/>
      <c r="Q38" s="51"/>
      <c r="R38" s="51"/>
      <c r="S38" s="51"/>
      <c r="T38" s="51"/>
      <c r="U38" s="51"/>
      <c r="V38" s="80">
        <f>IF(I24=0,0,IF(I24&lt;F51,I24,$F$51))</f>
        <v>0</v>
      </c>
      <c r="W38" s="79">
        <f t="shared" si="3"/>
        <v>0</v>
      </c>
      <c r="X38" s="81">
        <f>IF(G24&gt;DATE(YEAR(G$23),MONTH(G$23)+W37,DAY(G$23)),G24,DATE(YEAR(G$23),MONTH(G$23)+W37,DAY(G$23)))</f>
        <v>0</v>
      </c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</row>
    <row r="39" spans="1:42" s="68" customFormat="1" ht="15.75" x14ac:dyDescent="0.2">
      <c r="A39" s="316" t="s">
        <v>18</v>
      </c>
      <c r="B39" s="298">
        <f>$B$25</f>
        <v>0</v>
      </c>
      <c r="C39" s="416">
        <f t="shared" si="4"/>
        <v>0</v>
      </c>
      <c r="D39" s="416">
        <f t="shared" si="1"/>
        <v>0</v>
      </c>
      <c r="E39" s="416">
        <f>IF($E$16&gt;0,ROUND(C25/($C$29-$C$22)*($E$43-$E$36),0),0)</f>
        <v>0</v>
      </c>
      <c r="F39" s="418" t="str">
        <f t="shared" si="2"/>
        <v/>
      </c>
      <c r="G39" s="417">
        <f>$H$53</f>
        <v>0</v>
      </c>
      <c r="H39" s="296" t="str">
        <f>IF(AND(E25=0,E$29&gt;=H$43),"",ROUND((E25*H$43/E$29),0))</f>
        <v/>
      </c>
      <c r="I39" s="296" t="str">
        <f t="shared" ref="I39:I42" si="6">IF(F$29=0,"",ROUND((F25*I$43/F$29),0))</f>
        <v/>
      </c>
      <c r="J39" s="418" t="str">
        <f t="shared" si="5"/>
        <v/>
      </c>
      <c r="K39" s="300"/>
      <c r="L39" s="296">
        <f t="shared" ref="L39:L42" si="7">MAX(D25+E25+F25-G39-N(H39)-N(I39),0)</f>
        <v>0</v>
      </c>
      <c r="M39" s="51"/>
      <c r="N39" s="51"/>
      <c r="O39" s="51"/>
      <c r="P39" s="51"/>
      <c r="Q39" s="51"/>
      <c r="R39" s="51"/>
      <c r="S39" s="51"/>
      <c r="T39" s="51"/>
      <c r="U39" s="51"/>
      <c r="V39" s="80">
        <f>IF(I25=0,0,IF(I25&lt;F53,I25,$F$53))</f>
        <v>0</v>
      </c>
      <c r="W39" s="79">
        <f t="shared" si="3"/>
        <v>0</v>
      </c>
      <c r="X39" s="81">
        <f>IF(G25&gt;DATE(YEAR(G$23),MONTH(G$23)+W37+W38,DAY(G$23)),G25,DATE(YEAR(G$23),MONTH(G$23)+W37+W$38,DAY(G$23)))</f>
        <v>0</v>
      </c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</row>
    <row r="40" spans="1:42" s="68" customFormat="1" ht="15.75" customHeight="1" x14ac:dyDescent="0.2">
      <c r="A40" s="316" t="s">
        <v>19</v>
      </c>
      <c r="B40" s="298">
        <f>$B$26</f>
        <v>0</v>
      </c>
      <c r="C40" s="416">
        <f t="shared" si="4"/>
        <v>0</v>
      </c>
      <c r="D40" s="416">
        <f t="shared" si="1"/>
        <v>0</v>
      </c>
      <c r="E40" s="416">
        <f>IF($E$16&gt;0,ROUND(C26/($C$29-$C$22)*($E$43-$E$36),0),0)</f>
        <v>0</v>
      </c>
      <c r="F40" s="418" t="str">
        <f t="shared" si="2"/>
        <v/>
      </c>
      <c r="G40" s="417">
        <f>$H$55</f>
        <v>0</v>
      </c>
      <c r="H40" s="296" t="str">
        <f>IF(AND(E26=0,E$29&gt;=H$43),"",ROUND((E26*H$43/E$29),0))</f>
        <v/>
      </c>
      <c r="I40" s="296" t="str">
        <f t="shared" si="6"/>
        <v/>
      </c>
      <c r="J40" s="418" t="str">
        <f t="shared" si="5"/>
        <v/>
      </c>
      <c r="K40" s="300"/>
      <c r="L40" s="296">
        <f t="shared" si="7"/>
        <v>0</v>
      </c>
      <c r="M40" s="51"/>
      <c r="N40" s="51"/>
      <c r="O40" s="51"/>
      <c r="P40" s="51"/>
      <c r="Q40" s="51"/>
      <c r="R40" s="51"/>
      <c r="S40" s="51"/>
      <c r="T40" s="51"/>
      <c r="U40" s="51"/>
      <c r="V40" s="80">
        <f>IF(I26=0,0,IF(I26&lt;F55,I26,$F$55))</f>
        <v>0</v>
      </c>
      <c r="W40" s="79">
        <f t="shared" si="3"/>
        <v>0</v>
      </c>
      <c r="X40" s="81">
        <f>IF(G26&gt;DATE(YEAR(G$23),MONTH(G$23)+W$37+W$38+W39,DAY(G$23)),G26,DATE(YEAR(G$23),MONTH(G$23)+W$37+W$38+W39,DAY(G$23)))</f>
        <v>0</v>
      </c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</row>
    <row r="41" spans="1:42" s="68" customFormat="1" ht="15.75" x14ac:dyDescent="0.2">
      <c r="A41" s="316" t="s">
        <v>20</v>
      </c>
      <c r="B41" s="298">
        <f>$B$27</f>
        <v>0</v>
      </c>
      <c r="C41" s="416">
        <f t="shared" si="4"/>
        <v>0</v>
      </c>
      <c r="D41" s="416">
        <f t="shared" si="1"/>
        <v>0</v>
      </c>
      <c r="E41" s="416">
        <f t="shared" ref="E41:E42" si="8">IF($E$16&gt;0,ROUND(C27/($C$29-$C$22)*($E$43-$E$36),0),0)</f>
        <v>0</v>
      </c>
      <c r="F41" s="418" t="str">
        <f t="shared" si="2"/>
        <v/>
      </c>
      <c r="G41" s="417">
        <f>$H$57</f>
        <v>0</v>
      </c>
      <c r="H41" s="296" t="str">
        <f>IF(AND(E27=0,E$29&gt;=H$43),"",ROUND((E27*H$43/E$29),0))</f>
        <v/>
      </c>
      <c r="I41" s="296" t="str">
        <f t="shared" si="6"/>
        <v/>
      </c>
      <c r="J41" s="418" t="str">
        <f t="shared" si="5"/>
        <v/>
      </c>
      <c r="K41" s="300"/>
      <c r="L41" s="296">
        <f t="shared" si="7"/>
        <v>0</v>
      </c>
      <c r="M41" s="51"/>
      <c r="N41" s="51"/>
      <c r="O41" s="51"/>
      <c r="P41" s="51"/>
      <c r="Q41" s="51"/>
      <c r="R41" s="51"/>
      <c r="S41" s="51"/>
      <c r="T41" s="51"/>
      <c r="U41" s="51"/>
      <c r="V41" s="80">
        <f>IF(I27=0,0,IF(I27&lt;F57,I27,$F$57))</f>
        <v>0</v>
      </c>
      <c r="W41" s="79">
        <f t="shared" si="3"/>
        <v>0</v>
      </c>
      <c r="X41" s="81">
        <f>IF(G27&gt;DATE(YEAR(G$23),MONTH(G$23)+W$37+W$38+W39+W40,DAY(G$23)),G27,DATE(YEAR(G$23),MONTH(G$23)+W$37+W$38+W39+W40,DAY(G$23)))</f>
        <v>0</v>
      </c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</row>
    <row r="42" spans="1:42" s="68" customFormat="1" ht="16.5" thickBot="1" x14ac:dyDescent="0.25">
      <c r="A42" s="388" t="s">
        <v>21</v>
      </c>
      <c r="B42" s="302">
        <f>$B$28</f>
        <v>0</v>
      </c>
      <c r="C42" s="416">
        <f>IF(($C$43-$C$36)&gt;0,ROUND((E42/($E$43-$E$36)*($C$43-$C$36)),0),0)</f>
        <v>0</v>
      </c>
      <c r="D42" s="419">
        <f t="shared" si="1"/>
        <v>0</v>
      </c>
      <c r="E42" s="416">
        <f t="shared" si="8"/>
        <v>0</v>
      </c>
      <c r="F42" s="449" t="str">
        <f t="shared" si="2"/>
        <v/>
      </c>
      <c r="G42" s="420">
        <f>$H$59</f>
        <v>0</v>
      </c>
      <c r="H42" s="296" t="str">
        <f>IF(AND(E28=0,E$29&gt;=H$43),"",ROUND((E28*H$43/E$29),0))</f>
        <v/>
      </c>
      <c r="I42" s="296" t="str">
        <f t="shared" si="6"/>
        <v/>
      </c>
      <c r="J42" s="418" t="str">
        <f t="shared" si="5"/>
        <v/>
      </c>
      <c r="K42" s="300"/>
      <c r="L42" s="296">
        <f t="shared" si="7"/>
        <v>0</v>
      </c>
      <c r="M42" s="51"/>
      <c r="N42" s="51"/>
      <c r="O42" s="51"/>
      <c r="P42" s="51"/>
      <c r="Q42" s="51"/>
      <c r="R42" s="51"/>
      <c r="S42" s="51"/>
      <c r="T42" s="51"/>
      <c r="U42" s="51"/>
      <c r="V42" s="80">
        <f>IF(I28=0,0,IF(I28&lt;F59,I28,$F$59))</f>
        <v>0</v>
      </c>
      <c r="W42" s="79">
        <f t="shared" si="3"/>
        <v>0</v>
      </c>
      <c r="X42" s="81">
        <f>IF(G28&gt;DATE(YEAR(G$23),MONTH(G$23)+W$37+W$38+W39+W40+W41,DAY(G$23)),G28,DATE(YEAR(G$23),MONTH(G$23)+W$37+W$38+W39+W40+W41,DAY(G$23)))</f>
        <v>0</v>
      </c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</row>
    <row r="43" spans="1:42" s="216" customFormat="1" ht="24" customHeight="1" thickBot="1" x14ac:dyDescent="0.25">
      <c r="A43" s="305"/>
      <c r="B43" s="306" t="s">
        <v>189</v>
      </c>
      <c r="C43" s="421">
        <f>IF(E43-(E7*20%)&lt;100000,E43,IF((E$7*20%)&lt;E43,ROUND(E$7*20%,0),E43))</f>
        <v>0</v>
      </c>
      <c r="D43" s="421">
        <f t="shared" si="1"/>
        <v>0</v>
      </c>
      <c r="E43" s="421">
        <f>IF(MAX(D$79:D$80)&lt;C29+IF(E$12="Yes",E13,0),
MIN(MAX(D$79:D$80)-E36-C44,E16)+E36,
MIN(MAX(J79:J80),E16)+E36)</f>
        <v>0</v>
      </c>
      <c r="F43" s="462">
        <f>SUM(F36:F42)</f>
        <v>0</v>
      </c>
      <c r="G43" s="422">
        <f>SUM(G37:G42)</f>
        <v>0</v>
      </c>
      <c r="H43" s="423">
        <f>MIN(E29,SUM(G65:G66))</f>
        <v>0</v>
      </c>
      <c r="I43" s="422">
        <f>MIN(F29,SUM(H65:H66))</f>
        <v>0</v>
      </c>
      <c r="J43" s="424">
        <f>SUM(J37:J42)</f>
        <v>0</v>
      </c>
      <c r="K43" s="423">
        <f>G43+H43+I43</f>
        <v>0</v>
      </c>
      <c r="L43" s="423">
        <f>SUM(L38:L42)</f>
        <v>0</v>
      </c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</row>
    <row r="44" spans="1:42" s="68" customFormat="1" ht="24" customHeight="1" x14ac:dyDescent="0.2">
      <c r="A44" s="544" t="str">
        <f>IF($E$12="Yes",IF(I63=1,K64,IF(I63=2,K65,IF(I63=3,K66,IF(I63=4,J68,"Error")))),"Incentive program")</f>
        <v>Incentive program</v>
      </c>
      <c r="B44" s="544"/>
      <c r="C44" s="425">
        <f>IF(E12="Yes",MIN(E13,MAX(M79:M80)),0)</f>
        <v>0</v>
      </c>
      <c r="D44" s="425">
        <v>0</v>
      </c>
      <c r="E44" s="425">
        <f>C44</f>
        <v>0</v>
      </c>
      <c r="F44" s="463">
        <f>IF(E7=0,0,C44/E7)</f>
        <v>0</v>
      </c>
      <c r="G44" s="311"/>
      <c r="H44" s="311"/>
      <c r="I44" s="311"/>
      <c r="J44" s="311"/>
      <c r="K44" s="311"/>
      <c r="L44" s="262"/>
      <c r="M44" s="99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</row>
    <row r="45" spans="1:42" s="68" customFormat="1" ht="24.95" customHeight="1" thickBot="1" x14ac:dyDescent="0.25">
      <c r="A45" s="312"/>
      <c r="B45" s="313" t="s">
        <v>22</v>
      </c>
      <c r="C45" s="426">
        <f>C43+C44</f>
        <v>0</v>
      </c>
      <c r="D45" s="426">
        <f>D43+D44</f>
        <v>0</v>
      </c>
      <c r="E45" s="426">
        <f>SUM(E43:E44)</f>
        <v>0</v>
      </c>
      <c r="F45" s="464">
        <f>IF($E$7=0,0,E45/E7)</f>
        <v>0</v>
      </c>
      <c r="G45" s="314"/>
      <c r="H45" s="315"/>
      <c r="I45" s="315"/>
      <c r="J45" s="315"/>
      <c r="K45" s="469"/>
      <c r="L45" s="311"/>
      <c r="M45" s="470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</row>
    <row r="46" spans="1:42" s="245" customFormat="1" ht="15" customHeight="1" x14ac:dyDescent="0.2">
      <c r="A46" s="549" t="s">
        <v>229</v>
      </c>
      <c r="B46" s="550"/>
      <c r="C46" s="550"/>
      <c r="D46" s="550"/>
      <c r="E46" s="550"/>
      <c r="F46" s="467"/>
      <c r="G46" s="467"/>
      <c r="H46" s="467"/>
      <c r="I46" s="468"/>
      <c r="J46" s="468"/>
      <c r="L46" s="247"/>
      <c r="M46" s="470"/>
      <c r="N46" s="246"/>
      <c r="O46" s="246"/>
      <c r="P46" s="246"/>
      <c r="Q46" s="246"/>
      <c r="R46" s="246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246"/>
      <c r="AJ46" s="246"/>
      <c r="AK46" s="246"/>
      <c r="AL46" s="246"/>
      <c r="AM46" s="246"/>
      <c r="AN46" s="246"/>
      <c r="AO46" s="246"/>
    </row>
    <row r="47" spans="1:42" s="68" customFormat="1" ht="15" customHeight="1" x14ac:dyDescent="0.2">
      <c r="L47" s="51"/>
      <c r="M47" s="470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</row>
    <row r="48" spans="1:42" s="68" customFormat="1" ht="18.75" customHeight="1" x14ac:dyDescent="0.2">
      <c r="A48" s="52" t="s">
        <v>33</v>
      </c>
      <c r="B48" s="53"/>
      <c r="I48" s="51"/>
      <c r="J48" s="51"/>
      <c r="K48" s="56"/>
      <c r="L48" s="51"/>
      <c r="M48" s="470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</row>
    <row r="49" spans="1:43" s="374" customFormat="1" ht="20.100000000000001" customHeight="1" x14ac:dyDescent="0.2">
      <c r="A49" s="316" t="s">
        <v>16</v>
      </c>
      <c r="B49" s="317">
        <f>D$23</f>
        <v>0</v>
      </c>
      <c r="C49" s="318" t="s">
        <v>34</v>
      </c>
      <c r="D49" s="319">
        <f>$I$23</f>
        <v>0</v>
      </c>
      <c r="E49" s="318" t="s">
        <v>35</v>
      </c>
      <c r="F49" s="319">
        <v>72</v>
      </c>
      <c r="G49" s="318" t="s">
        <v>36</v>
      </c>
      <c r="H49" s="427">
        <f>IF(I23&lt;72,B49,(B49/D49)*F49)</f>
        <v>0</v>
      </c>
      <c r="I49" s="545" t="s">
        <v>37</v>
      </c>
      <c r="J49" s="546"/>
      <c r="K49" s="428">
        <f>DATE(YEAR(G23),MONTH(G23)+72,DAY(G23))</f>
        <v>2192</v>
      </c>
      <c r="L49" s="311"/>
      <c r="M49" s="311"/>
      <c r="N49" s="311"/>
      <c r="O49" s="311"/>
      <c r="P49" s="311"/>
      <c r="Q49" s="311"/>
      <c r="R49" s="311"/>
      <c r="S49" s="311"/>
      <c r="T49" s="311"/>
      <c r="U49" s="311"/>
      <c r="V49" s="311"/>
      <c r="W49" s="311"/>
      <c r="X49" s="311"/>
      <c r="Y49" s="311"/>
      <c r="Z49" s="311"/>
      <c r="AA49" s="311"/>
      <c r="AB49" s="311"/>
      <c r="AC49" s="311"/>
      <c r="AD49" s="311"/>
      <c r="AE49" s="311"/>
      <c r="AF49" s="311"/>
      <c r="AG49" s="311"/>
      <c r="AH49" s="311"/>
      <c r="AI49" s="311"/>
      <c r="AJ49" s="311"/>
      <c r="AK49" s="311"/>
      <c r="AL49" s="311"/>
      <c r="AM49" s="311"/>
      <c r="AN49" s="311"/>
      <c r="AO49" s="311"/>
    </row>
    <row r="50" spans="1:43" s="312" customFormat="1" ht="15.75" x14ac:dyDescent="0.2">
      <c r="A50" s="322"/>
      <c r="B50" s="323" t="s">
        <v>38</v>
      </c>
      <c r="C50" s="325"/>
      <c r="D50" s="324" t="s">
        <v>39</v>
      </c>
      <c r="E50" s="325"/>
      <c r="F50" s="324" t="s">
        <v>40</v>
      </c>
      <c r="G50" s="325"/>
      <c r="H50" s="323" t="s">
        <v>41</v>
      </c>
      <c r="I50" s="305"/>
      <c r="J50" s="305"/>
      <c r="K50" s="327"/>
      <c r="L50" s="311"/>
      <c r="M50" s="311"/>
      <c r="N50" s="311"/>
      <c r="O50" s="311"/>
      <c r="P50" s="311"/>
      <c r="Q50" s="311"/>
      <c r="R50" s="311"/>
      <c r="S50" s="311"/>
      <c r="T50" s="311"/>
      <c r="U50" s="311"/>
      <c r="V50" s="311"/>
      <c r="W50" s="311"/>
      <c r="X50" s="311"/>
      <c r="Y50" s="311"/>
      <c r="Z50" s="311"/>
      <c r="AA50" s="311"/>
      <c r="AB50" s="311"/>
      <c r="AC50" s="311"/>
      <c r="AD50" s="311"/>
      <c r="AE50" s="311"/>
      <c r="AF50" s="311"/>
      <c r="AG50" s="311"/>
      <c r="AH50" s="311"/>
      <c r="AI50" s="311"/>
      <c r="AJ50" s="311"/>
      <c r="AK50" s="311"/>
      <c r="AL50" s="311"/>
      <c r="AM50" s="311"/>
      <c r="AN50" s="311"/>
      <c r="AO50" s="311"/>
    </row>
    <row r="51" spans="1:43" s="312" customFormat="1" ht="20.100000000000001" customHeight="1" x14ac:dyDescent="0.2">
      <c r="A51" s="301" t="s">
        <v>17</v>
      </c>
      <c r="B51" s="317">
        <f>$D$24</f>
        <v>0</v>
      </c>
      <c r="C51" s="318" t="s">
        <v>34</v>
      </c>
      <c r="D51" s="319">
        <f>$I$24</f>
        <v>0</v>
      </c>
      <c r="E51" s="318" t="s">
        <v>35</v>
      </c>
      <c r="F51" s="328">
        <f>IF((YEAR(K$49)-YEAR(X38))*12+MONTH(K$49)-MONTH(X38)&lt;0,0,(YEAR(K$49)-YEAR(X38))*12+MONTH(K$49)-MONTH(X38))</f>
        <v>71</v>
      </c>
      <c r="G51" s="318" t="s">
        <v>36</v>
      </c>
      <c r="H51" s="427">
        <f>IF(D24=0,0,IF(D51&lt;F51,B51,(B51/D51)*F51))</f>
        <v>0</v>
      </c>
      <c r="I51" s="329"/>
      <c r="J51" s="329"/>
      <c r="K51" s="330"/>
      <c r="L51" s="311"/>
      <c r="M51" s="311"/>
      <c r="N51" s="311"/>
      <c r="O51" s="311"/>
      <c r="P51" s="311"/>
      <c r="Q51" s="311"/>
      <c r="R51" s="311"/>
      <c r="S51" s="311"/>
      <c r="T51" s="311"/>
      <c r="U51" s="311"/>
      <c r="V51" s="311"/>
      <c r="W51" s="311"/>
      <c r="X51" s="311"/>
      <c r="Y51" s="311"/>
      <c r="Z51" s="311"/>
      <c r="AA51" s="311"/>
      <c r="AB51" s="311"/>
      <c r="AC51" s="311"/>
      <c r="AD51" s="311"/>
      <c r="AE51" s="311"/>
      <c r="AF51" s="311"/>
      <c r="AG51" s="311"/>
      <c r="AH51" s="311"/>
      <c r="AI51" s="311"/>
      <c r="AJ51" s="311"/>
      <c r="AK51" s="311"/>
      <c r="AL51" s="311"/>
      <c r="AM51" s="311"/>
      <c r="AN51" s="311"/>
      <c r="AO51" s="311"/>
    </row>
    <row r="52" spans="1:43" s="312" customFormat="1" ht="15.75" x14ac:dyDescent="0.2">
      <c r="A52" s="429"/>
      <c r="B52" s="323" t="s">
        <v>38</v>
      </c>
      <c r="C52" s="430"/>
      <c r="D52" s="324" t="s">
        <v>39</v>
      </c>
      <c r="E52" s="430"/>
      <c r="F52" s="324" t="s">
        <v>40</v>
      </c>
      <c r="G52" s="325"/>
      <c r="H52" s="323" t="s">
        <v>41</v>
      </c>
      <c r="I52" s="305"/>
      <c r="J52" s="305"/>
      <c r="K52" s="327"/>
      <c r="L52" s="311"/>
      <c r="M52" s="311"/>
      <c r="N52" s="311"/>
      <c r="O52" s="311"/>
      <c r="P52" s="311"/>
      <c r="Q52" s="311"/>
      <c r="R52" s="311"/>
      <c r="S52" s="311"/>
      <c r="T52" s="311"/>
      <c r="U52" s="311"/>
      <c r="V52" s="311"/>
      <c r="W52" s="311"/>
      <c r="X52" s="311"/>
      <c r="Y52" s="311"/>
      <c r="Z52" s="311"/>
      <c r="AA52" s="311"/>
      <c r="AB52" s="311"/>
      <c r="AC52" s="311"/>
      <c r="AD52" s="311"/>
      <c r="AE52" s="311"/>
      <c r="AF52" s="311"/>
      <c r="AG52" s="311"/>
      <c r="AH52" s="311"/>
      <c r="AI52" s="311"/>
      <c r="AJ52" s="311"/>
      <c r="AK52" s="311"/>
      <c r="AL52" s="311"/>
      <c r="AM52" s="311"/>
      <c r="AN52" s="311"/>
      <c r="AO52" s="311"/>
    </row>
    <row r="53" spans="1:43" s="312" customFormat="1" ht="20.100000000000001" customHeight="1" x14ac:dyDescent="0.2">
      <c r="A53" s="301" t="s">
        <v>18</v>
      </c>
      <c r="B53" s="317">
        <f>$D$25</f>
        <v>0</v>
      </c>
      <c r="C53" s="318" t="s">
        <v>34</v>
      </c>
      <c r="D53" s="319">
        <f>$I$25</f>
        <v>0</v>
      </c>
      <c r="E53" s="318" t="s">
        <v>35</v>
      </c>
      <c r="F53" s="328">
        <f>IF((YEAR(K$49)-YEAR(X39))*12+MONTH(K$49)-MONTH(X39)&lt;0,0,(YEAR(K$49)-YEAR(X39))*12+MONTH(K$49)-MONTH(X39))</f>
        <v>71</v>
      </c>
      <c r="G53" s="318" t="s">
        <v>36</v>
      </c>
      <c r="H53" s="427">
        <f>IF(D25=0,0,IF(D53&lt;F53,B53,(B53/D53)*F53))</f>
        <v>0</v>
      </c>
      <c r="I53" s="329"/>
      <c r="J53" s="329"/>
      <c r="K53" s="330"/>
      <c r="L53" s="311"/>
      <c r="M53" s="311"/>
      <c r="N53" s="311"/>
      <c r="O53" s="311"/>
      <c r="P53" s="311"/>
      <c r="Q53" s="311"/>
      <c r="R53" s="311"/>
      <c r="S53" s="311"/>
      <c r="T53" s="311"/>
      <c r="U53" s="311"/>
      <c r="V53" s="311"/>
      <c r="W53" s="311"/>
      <c r="X53" s="311"/>
      <c r="Y53" s="311"/>
      <c r="Z53" s="311"/>
      <c r="AA53" s="311"/>
      <c r="AB53" s="311"/>
      <c r="AC53" s="311"/>
      <c r="AD53" s="311"/>
      <c r="AE53" s="311"/>
      <c r="AF53" s="311"/>
      <c r="AG53" s="311"/>
      <c r="AH53" s="311"/>
      <c r="AI53" s="311"/>
      <c r="AJ53" s="311"/>
      <c r="AK53" s="311"/>
      <c r="AL53" s="311"/>
      <c r="AM53" s="311"/>
      <c r="AN53" s="311"/>
      <c r="AO53" s="311"/>
    </row>
    <row r="54" spans="1:43" s="312" customFormat="1" ht="15.75" x14ac:dyDescent="0.2">
      <c r="A54" s="431"/>
      <c r="B54" s="323" t="s">
        <v>38</v>
      </c>
      <c r="C54" s="430"/>
      <c r="D54" s="324" t="s">
        <v>39</v>
      </c>
      <c r="E54" s="430"/>
      <c r="F54" s="324" t="s">
        <v>40</v>
      </c>
      <c r="G54" s="325"/>
      <c r="H54" s="323" t="s">
        <v>41</v>
      </c>
      <c r="I54" s="305"/>
      <c r="J54" s="305"/>
      <c r="K54" s="327"/>
      <c r="L54" s="311"/>
      <c r="M54" s="311"/>
      <c r="N54" s="311"/>
      <c r="O54" s="311"/>
      <c r="P54" s="311"/>
      <c r="Q54" s="311"/>
      <c r="R54" s="311"/>
      <c r="S54" s="311"/>
      <c r="T54" s="311"/>
      <c r="U54" s="311"/>
      <c r="V54" s="311"/>
      <c r="W54" s="311"/>
      <c r="X54" s="311"/>
      <c r="Y54" s="311"/>
      <c r="Z54" s="311"/>
      <c r="AA54" s="311"/>
      <c r="AB54" s="311"/>
      <c r="AC54" s="311"/>
      <c r="AD54" s="311"/>
      <c r="AE54" s="311"/>
      <c r="AF54" s="311"/>
      <c r="AG54" s="311"/>
      <c r="AH54" s="311"/>
      <c r="AI54" s="311"/>
      <c r="AJ54" s="311"/>
      <c r="AK54" s="311"/>
      <c r="AL54" s="311"/>
      <c r="AM54" s="311"/>
      <c r="AN54" s="311"/>
      <c r="AO54" s="311"/>
    </row>
    <row r="55" spans="1:43" s="312" customFormat="1" ht="24.95" customHeight="1" x14ac:dyDescent="0.2">
      <c r="A55" s="301" t="s">
        <v>19</v>
      </c>
      <c r="B55" s="317">
        <f>$D$26</f>
        <v>0</v>
      </c>
      <c r="C55" s="318" t="s">
        <v>34</v>
      </c>
      <c r="D55" s="328">
        <f>$I$26</f>
        <v>0</v>
      </c>
      <c r="E55" s="318" t="s">
        <v>35</v>
      </c>
      <c r="F55" s="328">
        <f>IF((YEAR(K$49)-YEAR(X40))*12+MONTH(K$49)-MONTH(X40)&lt;0,0,(YEAR(K$49)-YEAR(X40))*12+MONTH(K$49)-MONTH(X40))</f>
        <v>71</v>
      </c>
      <c r="G55" s="318" t="s">
        <v>36</v>
      </c>
      <c r="H55" s="427">
        <f>IF(D26=0,0,IF(D55&lt;F55,B55,(B55/D55)*F55))</f>
        <v>0</v>
      </c>
      <c r="I55" s="329"/>
      <c r="J55" s="329"/>
      <c r="K55" s="330"/>
      <c r="L55" s="311"/>
      <c r="M55" s="311"/>
      <c r="N55" s="311"/>
      <c r="O55" s="311"/>
      <c r="P55" s="311"/>
      <c r="Q55" s="311"/>
      <c r="R55" s="311"/>
      <c r="S55" s="311"/>
      <c r="T55" s="311"/>
      <c r="U55" s="311"/>
      <c r="V55" s="311"/>
      <c r="W55" s="311"/>
      <c r="X55" s="311"/>
      <c r="Y55" s="311"/>
      <c r="Z55" s="311"/>
      <c r="AA55" s="311"/>
      <c r="AB55" s="311"/>
      <c r="AC55" s="311"/>
      <c r="AD55" s="311"/>
      <c r="AE55" s="311"/>
      <c r="AF55" s="311"/>
      <c r="AG55" s="311"/>
      <c r="AH55" s="311"/>
      <c r="AI55" s="311"/>
      <c r="AJ55" s="311"/>
      <c r="AK55" s="311"/>
      <c r="AL55" s="311"/>
      <c r="AM55" s="311"/>
      <c r="AN55" s="311"/>
      <c r="AO55" s="311"/>
    </row>
    <row r="56" spans="1:43" s="312" customFormat="1" ht="15.75" x14ac:dyDescent="0.2">
      <c r="A56" s="322"/>
      <c r="B56" s="323" t="s">
        <v>38</v>
      </c>
      <c r="C56" s="430"/>
      <c r="D56" s="324" t="s">
        <v>39</v>
      </c>
      <c r="E56" s="430"/>
      <c r="F56" s="324" t="s">
        <v>40</v>
      </c>
      <c r="G56" s="325"/>
      <c r="H56" s="323" t="s">
        <v>41</v>
      </c>
      <c r="I56" s="305"/>
      <c r="J56" s="305"/>
      <c r="K56" s="327"/>
      <c r="L56" s="311"/>
      <c r="M56" s="311"/>
      <c r="N56" s="311"/>
      <c r="O56" s="311"/>
      <c r="P56" s="311"/>
      <c r="Q56" s="311"/>
      <c r="R56" s="311"/>
      <c r="S56" s="311"/>
      <c r="T56" s="311"/>
      <c r="U56" s="311"/>
      <c r="V56" s="311"/>
      <c r="W56" s="311"/>
      <c r="X56" s="311"/>
      <c r="Y56" s="311"/>
      <c r="Z56" s="311"/>
      <c r="AA56" s="311"/>
      <c r="AB56" s="311"/>
      <c r="AC56" s="311"/>
      <c r="AD56" s="311"/>
      <c r="AE56" s="311"/>
      <c r="AF56" s="311"/>
      <c r="AG56" s="311"/>
      <c r="AH56" s="311"/>
      <c r="AI56" s="311"/>
      <c r="AJ56" s="311"/>
      <c r="AK56" s="311"/>
      <c r="AL56" s="311"/>
      <c r="AM56" s="311"/>
      <c r="AN56" s="311"/>
      <c r="AO56" s="311"/>
    </row>
    <row r="57" spans="1:43" s="312" customFormat="1" ht="20.100000000000001" customHeight="1" x14ac:dyDescent="0.2">
      <c r="A57" s="301" t="s">
        <v>20</v>
      </c>
      <c r="B57" s="317">
        <f>$D$27</f>
        <v>0</v>
      </c>
      <c r="C57" s="318" t="s">
        <v>34</v>
      </c>
      <c r="D57" s="328">
        <f>$I$27</f>
        <v>0</v>
      </c>
      <c r="E57" s="318" t="s">
        <v>35</v>
      </c>
      <c r="F57" s="328">
        <f>IF((YEAR(K$49)-YEAR(X41))*12+MONTH(K$49)-MONTH(X41)&lt;0,0,(YEAR(K$49)-YEAR(X41))*12+MONTH(K$49)-MONTH(X41))</f>
        <v>71</v>
      </c>
      <c r="G57" s="318" t="s">
        <v>36</v>
      </c>
      <c r="H57" s="427">
        <f>IF(D27=0,0,IF(D57&lt;F57,B57,(B57/D57)*F57))</f>
        <v>0</v>
      </c>
      <c r="I57" s="329"/>
      <c r="J57" s="329"/>
      <c r="K57" s="330"/>
      <c r="L57" s="311"/>
      <c r="M57" s="311"/>
      <c r="N57" s="311"/>
      <c r="O57" s="311"/>
      <c r="P57" s="311"/>
      <c r="Q57" s="311"/>
      <c r="R57" s="311"/>
      <c r="S57" s="311"/>
      <c r="T57" s="311"/>
      <c r="U57" s="311"/>
      <c r="V57" s="311"/>
      <c r="W57" s="311"/>
      <c r="X57" s="311"/>
      <c r="Y57" s="311"/>
      <c r="Z57" s="311"/>
      <c r="AA57" s="311"/>
      <c r="AB57" s="311"/>
      <c r="AC57" s="311"/>
      <c r="AD57" s="311"/>
      <c r="AE57" s="311"/>
      <c r="AF57" s="311"/>
      <c r="AG57" s="311"/>
      <c r="AH57" s="311"/>
      <c r="AI57" s="311"/>
      <c r="AJ57" s="311"/>
      <c r="AK57" s="311"/>
      <c r="AL57" s="311"/>
      <c r="AM57" s="311"/>
      <c r="AN57" s="311"/>
      <c r="AO57" s="311"/>
    </row>
    <row r="58" spans="1:43" s="312" customFormat="1" ht="15.75" x14ac:dyDescent="0.2">
      <c r="A58" s="429"/>
      <c r="B58" s="323" t="s">
        <v>38</v>
      </c>
      <c r="C58" s="430"/>
      <c r="D58" s="324" t="s">
        <v>39</v>
      </c>
      <c r="E58" s="430"/>
      <c r="F58" s="324" t="s">
        <v>40</v>
      </c>
      <c r="G58" s="325"/>
      <c r="H58" s="323" t="s">
        <v>41</v>
      </c>
      <c r="I58" s="305"/>
      <c r="J58" s="305"/>
      <c r="K58" s="327"/>
      <c r="L58" s="311"/>
      <c r="M58" s="311"/>
      <c r="N58" s="311"/>
      <c r="O58" s="311"/>
      <c r="P58" s="311"/>
      <c r="Q58" s="311"/>
      <c r="R58" s="311"/>
      <c r="S58" s="311"/>
      <c r="T58" s="311"/>
      <c r="U58" s="311"/>
      <c r="V58" s="311"/>
      <c r="W58" s="311"/>
      <c r="X58" s="311"/>
      <c r="Y58" s="311"/>
      <c r="Z58" s="311"/>
      <c r="AA58" s="311"/>
      <c r="AB58" s="311"/>
      <c r="AC58" s="311"/>
      <c r="AD58" s="311"/>
      <c r="AE58" s="311"/>
      <c r="AF58" s="311"/>
      <c r="AG58" s="311"/>
      <c r="AH58" s="311"/>
      <c r="AI58" s="311"/>
      <c r="AJ58" s="311"/>
      <c r="AK58" s="311"/>
      <c r="AL58" s="311"/>
      <c r="AM58" s="311"/>
      <c r="AN58" s="311"/>
      <c r="AO58" s="311"/>
    </row>
    <row r="59" spans="1:43" s="312" customFormat="1" ht="20.100000000000001" customHeight="1" x14ac:dyDescent="0.2">
      <c r="A59" s="301" t="s">
        <v>21</v>
      </c>
      <c r="B59" s="317">
        <f>$D$28</f>
        <v>0</v>
      </c>
      <c r="C59" s="318" t="s">
        <v>34</v>
      </c>
      <c r="D59" s="328">
        <f>$I$28</f>
        <v>0</v>
      </c>
      <c r="E59" s="318" t="s">
        <v>35</v>
      </c>
      <c r="F59" s="328">
        <f>IF((YEAR(K$49)-YEAR(X42))*12+MONTH(K$49)-MONTH(X42)&lt;0,0,(YEAR(K$49)-YEAR(X42))*12+MONTH(K$49)-MONTH(X42))</f>
        <v>71</v>
      </c>
      <c r="G59" s="318" t="s">
        <v>36</v>
      </c>
      <c r="H59" s="427">
        <f>IF(D28=0,0,IF(D59&lt;F59,B59,(B59/D59)*F59))</f>
        <v>0</v>
      </c>
      <c r="I59" s="329"/>
      <c r="J59" s="329"/>
      <c r="K59" s="330"/>
      <c r="L59" s="311"/>
      <c r="M59" s="311"/>
      <c r="N59" s="311"/>
      <c r="O59" s="311"/>
      <c r="P59" s="311"/>
      <c r="Q59" s="311"/>
      <c r="R59" s="311"/>
      <c r="S59" s="311"/>
      <c r="T59" s="311"/>
      <c r="U59" s="311"/>
      <c r="V59" s="311"/>
      <c r="W59" s="311"/>
      <c r="X59" s="311"/>
      <c r="Y59" s="311"/>
      <c r="Z59" s="311"/>
      <c r="AA59" s="311"/>
      <c r="AB59" s="311"/>
      <c r="AC59" s="311"/>
      <c r="AD59" s="311"/>
      <c r="AE59" s="311"/>
      <c r="AF59" s="311"/>
      <c r="AG59" s="311"/>
      <c r="AH59" s="311"/>
      <c r="AI59" s="311"/>
      <c r="AJ59" s="311"/>
      <c r="AK59" s="311"/>
      <c r="AL59" s="311"/>
      <c r="AM59" s="311"/>
      <c r="AN59" s="311"/>
      <c r="AO59" s="311"/>
    </row>
    <row r="60" spans="1:43" s="312" customFormat="1" ht="15.75" x14ac:dyDescent="0.2">
      <c r="A60" s="432"/>
      <c r="B60" s="433" t="s">
        <v>38</v>
      </c>
      <c r="C60" s="329"/>
      <c r="D60" s="433" t="s">
        <v>39</v>
      </c>
      <c r="E60" s="329"/>
      <c r="F60" s="433" t="s">
        <v>40</v>
      </c>
      <c r="G60" s="318"/>
      <c r="H60" s="433" t="s">
        <v>41</v>
      </c>
      <c r="I60" s="329"/>
      <c r="J60" s="329"/>
      <c r="K60" s="330"/>
      <c r="L60" s="311"/>
      <c r="M60" s="311"/>
      <c r="N60" s="311"/>
      <c r="O60" s="311"/>
      <c r="P60" s="311"/>
      <c r="Q60" s="311"/>
      <c r="R60" s="311"/>
      <c r="S60" s="311"/>
      <c r="T60" s="311"/>
      <c r="U60" s="311"/>
      <c r="V60" s="311"/>
      <c r="W60" s="311"/>
      <c r="X60" s="311"/>
      <c r="Y60" s="311"/>
      <c r="Z60" s="311"/>
      <c r="AA60" s="311"/>
      <c r="AB60" s="311"/>
      <c r="AC60" s="311"/>
      <c r="AD60" s="311"/>
      <c r="AE60" s="311"/>
      <c r="AF60" s="311"/>
      <c r="AG60" s="311"/>
      <c r="AH60" s="311"/>
      <c r="AI60" s="311"/>
      <c r="AJ60" s="311"/>
      <c r="AK60" s="311"/>
      <c r="AL60" s="311"/>
      <c r="AM60" s="311"/>
      <c r="AN60" s="311"/>
      <c r="AO60" s="311"/>
    </row>
    <row r="61" spans="1:43" s="68" customFormat="1" ht="15.75" x14ac:dyDescent="0.2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</row>
    <row r="62" spans="1:43" s="68" customFormat="1" ht="32.25" customHeight="1" x14ac:dyDescent="0.2">
      <c r="A62" s="59" t="s">
        <v>173</v>
      </c>
      <c r="B62" s="60"/>
      <c r="C62" s="169"/>
      <c r="D62"/>
      <c r="E62"/>
      <c r="F62"/>
      <c r="G62" s="551" t="s">
        <v>231</v>
      </c>
      <c r="H62" s="552"/>
      <c r="I62"/>
      <c r="J62"/>
      <c r="K62"/>
      <c r="L62"/>
      <c r="M62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</row>
    <row r="63" spans="1:43" s="312" customFormat="1" ht="53.25" customHeight="1" x14ac:dyDescent="0.2">
      <c r="A63" s="478">
        <v>1</v>
      </c>
      <c r="B63" s="287" t="s">
        <v>42</v>
      </c>
      <c r="C63" s="351" t="s">
        <v>43</v>
      </c>
      <c r="D63" s="351" t="s">
        <v>44</v>
      </c>
      <c r="E63" s="351" t="s">
        <v>45</v>
      </c>
      <c r="F63" s="351" t="s">
        <v>46</v>
      </c>
      <c r="G63" s="434" t="s">
        <v>218</v>
      </c>
      <c r="H63" s="434" t="s">
        <v>244</v>
      </c>
      <c r="I63" s="478">
        <v>4</v>
      </c>
      <c r="J63" s="479"/>
      <c r="K63" s="479"/>
      <c r="L63" s="479"/>
      <c r="M63" s="479"/>
      <c r="N63" s="311"/>
      <c r="O63" s="311"/>
      <c r="P63" s="311"/>
      <c r="Q63" s="311"/>
      <c r="R63" s="311"/>
      <c r="S63" s="311"/>
      <c r="T63" s="311"/>
      <c r="U63" s="311"/>
      <c r="V63" s="311"/>
      <c r="W63" s="311"/>
      <c r="X63" s="311"/>
      <c r="Y63" s="311"/>
      <c r="Z63" s="311"/>
      <c r="AA63" s="311"/>
      <c r="AB63" s="311"/>
      <c r="AC63" s="311"/>
      <c r="AD63" s="311"/>
      <c r="AE63" s="311"/>
      <c r="AF63" s="311"/>
      <c r="AG63" s="311"/>
      <c r="AH63" s="311"/>
      <c r="AI63" s="311"/>
      <c r="AJ63" s="311"/>
      <c r="AK63" s="311"/>
      <c r="AL63" s="311"/>
      <c r="AM63" s="311"/>
      <c r="AN63" s="311"/>
      <c r="AO63" s="311"/>
      <c r="AP63" s="311"/>
      <c r="AQ63" s="311"/>
    </row>
    <row r="64" spans="1:43" s="312" customFormat="1" ht="15.75" x14ac:dyDescent="0.2">
      <c r="A64" s="62"/>
      <c r="B64" s="435"/>
      <c r="C64" s="436"/>
      <c r="D64" s="437"/>
      <c r="E64" s="436"/>
      <c r="F64" s="437"/>
      <c r="G64" s="438"/>
      <c r="H64" s="438"/>
      <c r="I64" s="480"/>
      <c r="J64" s="479"/>
      <c r="K64" s="481" t="s">
        <v>48</v>
      </c>
      <c r="L64" s="479"/>
      <c r="M64" s="62" t="s">
        <v>10</v>
      </c>
      <c r="N64" s="311"/>
      <c r="O64" s="311"/>
      <c r="P64" s="311"/>
      <c r="Q64" s="311"/>
      <c r="R64" s="311"/>
      <c r="S64" s="311"/>
      <c r="T64" s="311"/>
      <c r="U64" s="311"/>
      <c r="V64" s="311"/>
      <c r="W64" s="311"/>
      <c r="X64" s="311"/>
      <c r="Y64" s="311"/>
      <c r="Z64" s="311"/>
      <c r="AA64" s="311"/>
      <c r="AB64" s="311"/>
      <c r="AC64" s="311"/>
      <c r="AD64" s="311"/>
      <c r="AE64" s="311"/>
      <c r="AF64" s="311"/>
      <c r="AG64" s="311"/>
      <c r="AH64" s="311"/>
      <c r="AI64" s="311"/>
      <c r="AJ64" s="311"/>
      <c r="AK64" s="311"/>
      <c r="AL64" s="311"/>
      <c r="AM64" s="311"/>
      <c r="AN64" s="311"/>
      <c r="AO64" s="311"/>
      <c r="AP64" s="311"/>
      <c r="AQ64" s="311"/>
    </row>
    <row r="65" spans="1:49" s="312" customFormat="1" ht="39.950000000000003" customHeight="1" x14ac:dyDescent="0.2">
      <c r="A65" s="62"/>
      <c r="B65" s="439" t="s">
        <v>198</v>
      </c>
      <c r="C65" s="342" t="s">
        <v>199</v>
      </c>
      <c r="D65" s="440" t="str">
        <f>IF(A$63=2,IF($E$7*10%&gt;=90000,90000,ROUND($E$7*10%,0)),"N/A")</f>
        <v>N/A</v>
      </c>
      <c r="E65" s="376" t="str">
        <f>IF(D65="N/A","N/A",IF(G$43&gt;=D65,"Yes",
IF(G$43+MIN(E$29+F$29,MAX(D65-G$43,0))&gt;=D65,"Yes","No")))</f>
        <v>N/A</v>
      </c>
      <c r="F65" s="440" t="str">
        <f>IF(E65="N/A","N/A",G$43+H$43+I$43-D65)</f>
        <v>N/A</v>
      </c>
      <c r="G65" s="441" t="str">
        <f>IF(E65="N/A","N/A",
IF(AND(E$29&gt;0,G$43&gt;0),MAX(D65-G$43,0),0))</f>
        <v>N/A</v>
      </c>
      <c r="H65" s="441" t="str">
        <f>IF(D65="N/A","N/A",
IF(AND($A$63=2,F$29&gt;0,G$43+H$43&gt;=51%*D65),MAX(ROUND(D65-G$43-H$43,0),0),0))</f>
        <v>N/A</v>
      </c>
      <c r="I65" s="482"/>
      <c r="J65" s="479"/>
      <c r="K65" s="481" t="s">
        <v>50</v>
      </c>
      <c r="L65" s="483"/>
      <c r="M65" s="62" t="s">
        <v>53</v>
      </c>
      <c r="N65" s="311"/>
      <c r="O65" s="311"/>
      <c r="P65" s="311"/>
      <c r="Q65" s="311"/>
      <c r="R65" s="311"/>
      <c r="S65" s="311"/>
      <c r="T65" s="311"/>
      <c r="U65" s="311"/>
      <c r="V65" s="311"/>
      <c r="W65" s="311"/>
      <c r="X65" s="311"/>
      <c r="Y65" s="311"/>
      <c r="Z65" s="311"/>
      <c r="AA65" s="311"/>
      <c r="AB65" s="311"/>
      <c r="AC65" s="311"/>
      <c r="AD65" s="311"/>
      <c r="AE65" s="311"/>
      <c r="AF65" s="311"/>
      <c r="AG65" s="311"/>
      <c r="AH65" s="311"/>
      <c r="AI65" s="311"/>
      <c r="AJ65" s="311"/>
      <c r="AK65" s="311"/>
      <c r="AL65" s="311"/>
      <c r="AM65" s="311"/>
      <c r="AN65" s="311"/>
      <c r="AO65" s="311"/>
      <c r="AP65" s="311"/>
      <c r="AQ65" s="311"/>
    </row>
    <row r="66" spans="1:49" s="374" customFormat="1" ht="39.950000000000003" customHeight="1" x14ac:dyDescent="0.2">
      <c r="A66" s="484"/>
      <c r="B66" s="442" t="s">
        <v>49</v>
      </c>
      <c r="C66" s="347">
        <v>0.15</v>
      </c>
      <c r="D66" s="440" t="str">
        <f>IF(A$63=3,ROUND(($E$7*C66),0),"N/A")</f>
        <v>N/A</v>
      </c>
      <c r="E66" s="376" t="str">
        <f>IF(D66="N/A","N/A",IF(G$43&gt;=D66,"Yes",
IF(G$43+MIN(E$29+F$29,MAX(D66-G$43,0))&gt;=D66,"Yes","No")))</f>
        <v>N/A</v>
      </c>
      <c r="F66" s="440" t="str">
        <f>IF(E66="N/A","N/A",G$43+H$43+I$43-D66)</f>
        <v>N/A</v>
      </c>
      <c r="G66" s="441" t="str">
        <f>IF(E66="N/A","N/A",
IF(AND(E$29&gt;0,G$43&gt;0),MAX(D66-G$43,0),0))</f>
        <v>N/A</v>
      </c>
      <c r="H66" s="441" t="str">
        <f>IF(D66="N/A","N/A",
IF(AND($A$63=3,F$29&gt;0,G$43+H$43&gt;=51%*D66),MAX(ROUND(D66-G$43-H$43,0),0),0))</f>
        <v>N/A</v>
      </c>
      <c r="I66" s="479"/>
      <c r="J66" s="479"/>
      <c r="K66" s="481" t="s">
        <v>52</v>
      </c>
      <c r="L66" s="479"/>
      <c r="M66" s="479"/>
      <c r="N66" s="311"/>
      <c r="O66" s="311"/>
      <c r="P66" s="311"/>
      <c r="Q66" s="311"/>
      <c r="R66" s="311"/>
      <c r="S66" s="311"/>
      <c r="T66" s="311"/>
      <c r="U66" s="311"/>
      <c r="V66" s="311"/>
      <c r="W66" s="311"/>
      <c r="X66" s="311"/>
      <c r="Y66" s="311"/>
      <c r="Z66" s="311"/>
      <c r="AA66" s="311"/>
      <c r="AB66" s="311"/>
      <c r="AC66" s="311"/>
      <c r="AD66" s="311"/>
      <c r="AE66" s="311"/>
      <c r="AF66" s="311"/>
      <c r="AG66" s="311"/>
      <c r="AH66" s="311"/>
      <c r="AI66" s="311"/>
      <c r="AJ66" s="311"/>
      <c r="AK66" s="311"/>
      <c r="AL66" s="311"/>
      <c r="AM66" s="311"/>
      <c r="AN66" s="311"/>
      <c r="AO66" s="311"/>
      <c r="AP66" s="311"/>
      <c r="AQ66" s="311"/>
    </row>
    <row r="67" spans="1:49" s="217" customFormat="1" ht="24.95" hidden="1" customHeight="1" x14ac:dyDescent="0.2">
      <c r="A67"/>
      <c r="B67"/>
      <c r="C67"/>
      <c r="D67"/>
      <c r="E67"/>
      <c r="F67"/>
      <c r="G67"/>
      <c r="H67"/>
      <c r="I67"/>
      <c r="J67"/>
      <c r="K67"/>
      <c r="L67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</row>
    <row r="68" spans="1:49" s="217" customFormat="1" ht="15.75" hidden="1" x14ac:dyDescent="0.2">
      <c r="A68"/>
      <c r="B68"/>
      <c r="C68"/>
      <c r="D68"/>
      <c r="E68"/>
      <c r="F68"/>
      <c r="G68"/>
      <c r="H68"/>
      <c r="I68"/>
      <c r="J68"/>
      <c r="K68"/>
      <c r="L68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</row>
    <row r="69" spans="1:49" s="217" customFormat="1" ht="15.75" hidden="1" x14ac:dyDescent="0.2">
      <c r="A69"/>
      <c r="B69"/>
      <c r="C69"/>
      <c r="D69"/>
      <c r="E69"/>
      <c r="F69"/>
      <c r="G69"/>
      <c r="H69"/>
      <c r="I69"/>
      <c r="J69"/>
      <c r="K69"/>
      <c r="L69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</row>
    <row r="70" spans="1:49" s="217" customFormat="1" ht="15.75" hidden="1" x14ac:dyDescent="0.2">
      <c r="A70"/>
      <c r="B70"/>
      <c r="C70"/>
      <c r="D70"/>
      <c r="E70"/>
      <c r="F70"/>
      <c r="G70"/>
      <c r="H70"/>
      <c r="I70"/>
      <c r="J70"/>
      <c r="K70"/>
      <c r="L70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</row>
    <row r="71" spans="1:49" s="217" customFormat="1" ht="24.95" hidden="1" customHeight="1" x14ac:dyDescent="0.2">
      <c r="A71"/>
      <c r="B71"/>
      <c r="C71"/>
      <c r="D71"/>
      <c r="E71"/>
      <c r="F71"/>
      <c r="G71" s="262"/>
      <c r="H71"/>
      <c r="I71"/>
      <c r="J71"/>
      <c r="K71"/>
      <c r="L7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</row>
    <row r="72" spans="1:49" s="218" customFormat="1" ht="15.75" hidden="1" x14ac:dyDescent="0.2">
      <c r="A72"/>
      <c r="B72"/>
      <c r="C72"/>
      <c r="D72"/>
      <c r="E72"/>
      <c r="F72"/>
      <c r="G72" s="262"/>
      <c r="H72"/>
      <c r="I72"/>
      <c r="J72"/>
      <c r="K72"/>
      <c r="L72"/>
      <c r="M72" s="51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</row>
    <row r="73" spans="1:49" s="68" customFormat="1" ht="15.75" hidden="1" x14ac:dyDescent="0.2">
      <c r="A73" s="51"/>
      <c r="B73" s="51"/>
      <c r="C73" s="51"/>
      <c r="D73" s="51"/>
      <c r="E73"/>
      <c r="F73" s="51"/>
      <c r="G73" s="51"/>
      <c r="H73"/>
      <c r="I73"/>
      <c r="J73"/>
      <c r="K73"/>
      <c r="L73"/>
      <c r="M73" s="63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</row>
    <row r="74" spans="1:49" s="217" customFormat="1" ht="18" customHeight="1" x14ac:dyDescent="0.2">
      <c r="C74" s="68"/>
      <c r="D74" s="68"/>
      <c r="E74" s="68"/>
      <c r="F74" s="68"/>
      <c r="G74" s="68"/>
      <c r="H74" s="68"/>
      <c r="I74" s="51"/>
      <c r="J74" s="51"/>
      <c r="K74" s="51"/>
      <c r="L74" s="51"/>
      <c r="M74" s="51"/>
      <c r="N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</row>
    <row r="75" spans="1:49" s="27" customFormat="1" ht="15.75" x14ac:dyDescent="0.2">
      <c r="A75" s="66" t="s">
        <v>54</v>
      </c>
      <c r="B75" s="67"/>
      <c r="C75" s="286"/>
      <c r="E75" s="26"/>
      <c r="F75" s="26"/>
      <c r="G75" s="26"/>
      <c r="H75" s="26"/>
      <c r="I75" s="26"/>
      <c r="J75" s="26"/>
      <c r="K75" s="26"/>
      <c r="L75" s="26"/>
      <c r="M75" s="51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</row>
    <row r="76" spans="1:49" s="368" customFormat="1" ht="24.95" customHeight="1" x14ac:dyDescent="0.2">
      <c r="A76" s="348"/>
      <c r="B76" s="348"/>
      <c r="C76" s="349"/>
      <c r="D76" s="526" t="s">
        <v>55</v>
      </c>
      <c r="E76" s="526"/>
      <c r="F76" s="527"/>
      <c r="G76" s="518" t="s">
        <v>172</v>
      </c>
      <c r="H76" s="519"/>
      <c r="I76" s="520"/>
      <c r="J76" s="529" t="s">
        <v>177</v>
      </c>
      <c r="K76" s="530"/>
      <c r="L76" s="531"/>
      <c r="M76" s="541" t="s">
        <v>56</v>
      </c>
      <c r="N76" s="542"/>
      <c r="O76" s="543"/>
      <c r="P76" s="369"/>
      <c r="Q76" s="369"/>
      <c r="R76" s="369"/>
      <c r="S76" s="369"/>
      <c r="T76" s="369"/>
      <c r="U76" s="369"/>
      <c r="V76" s="369"/>
      <c r="W76" s="369"/>
      <c r="X76" s="369"/>
      <c r="Y76" s="369"/>
      <c r="Z76" s="369"/>
      <c r="AA76" s="369"/>
      <c r="AB76" s="369"/>
      <c r="AC76" s="369"/>
      <c r="AD76" s="369"/>
      <c r="AE76" s="369"/>
      <c r="AF76" s="369"/>
      <c r="AG76" s="369"/>
      <c r="AH76" s="369"/>
      <c r="AI76" s="369"/>
      <c r="AJ76" s="369"/>
      <c r="AK76" s="369"/>
      <c r="AL76" s="369"/>
    </row>
    <row r="77" spans="1:49" s="372" customFormat="1" ht="48" customHeight="1" x14ac:dyDescent="0.2">
      <c r="A77" s="350"/>
      <c r="B77" s="524" t="s">
        <v>42</v>
      </c>
      <c r="C77" s="525"/>
      <c r="D77" s="351" t="s">
        <v>57</v>
      </c>
      <c r="E77" s="351" t="s">
        <v>58</v>
      </c>
      <c r="F77" s="351" t="s">
        <v>59</v>
      </c>
      <c r="G77" s="352" t="s">
        <v>60</v>
      </c>
      <c r="H77" s="352" t="s">
        <v>58</v>
      </c>
      <c r="I77" s="352" t="s">
        <v>59</v>
      </c>
      <c r="J77" s="353" t="s">
        <v>124</v>
      </c>
      <c r="K77" s="443" t="s">
        <v>58</v>
      </c>
      <c r="L77" s="443" t="s">
        <v>59</v>
      </c>
      <c r="M77" s="354" t="s">
        <v>61</v>
      </c>
      <c r="N77" s="444" t="s">
        <v>58</v>
      </c>
      <c r="O77" s="444" t="s">
        <v>59</v>
      </c>
      <c r="P77" s="370"/>
      <c r="Q77" s="370"/>
      <c r="R77" s="370"/>
      <c r="S77" s="371"/>
      <c r="T77" s="370"/>
      <c r="U77" s="370"/>
      <c r="V77" s="370"/>
      <c r="W77" s="370"/>
      <c r="X77" s="370"/>
      <c r="Y77" s="370"/>
      <c r="Z77" s="370"/>
      <c r="AA77" s="370"/>
      <c r="AB77" s="370"/>
      <c r="AC77" s="370"/>
      <c r="AD77" s="370"/>
      <c r="AE77" s="370"/>
      <c r="AF77" s="370"/>
      <c r="AG77" s="370"/>
      <c r="AH77" s="370"/>
      <c r="AI77" s="370"/>
      <c r="AJ77" s="370"/>
      <c r="AK77" s="370"/>
      <c r="AL77" s="370"/>
      <c r="AM77" s="370"/>
      <c r="AN77" s="370"/>
      <c r="AO77" s="370"/>
      <c r="AP77" s="370"/>
      <c r="AQ77" s="370"/>
      <c r="AR77" s="370"/>
      <c r="AS77" s="370"/>
      <c r="AT77" s="370"/>
      <c r="AU77" s="370"/>
      <c r="AV77" s="370"/>
      <c r="AW77" s="370"/>
    </row>
    <row r="78" spans="1:49" s="374" customFormat="1" ht="24.95" customHeight="1" x14ac:dyDescent="0.2">
      <c r="A78" s="262"/>
      <c r="B78" s="445" t="s">
        <v>47</v>
      </c>
      <c r="C78" s="357"/>
      <c r="D78" s="356"/>
      <c r="E78" s="357"/>
      <c r="F78" s="358"/>
      <c r="G78" s="359"/>
      <c r="H78" s="360"/>
      <c r="I78" s="361"/>
      <c r="J78" s="359"/>
      <c r="K78" s="360"/>
      <c r="L78" s="361"/>
      <c r="M78" s="532" t="str">
        <f>IF(I63=1,K64,IF(I63=2,K65,IF(I63=3,K66,"")))</f>
        <v/>
      </c>
      <c r="N78" s="533"/>
      <c r="O78" s="534"/>
      <c r="P78" s="311"/>
      <c r="Q78" s="311"/>
      <c r="R78" s="311"/>
      <c r="S78" s="373"/>
      <c r="T78" s="311"/>
      <c r="U78" s="311"/>
      <c r="V78" s="311"/>
      <c r="W78" s="311"/>
      <c r="X78" s="311"/>
      <c r="Y78" s="311"/>
      <c r="Z78" s="311"/>
      <c r="AA78" s="311"/>
      <c r="AB78" s="311"/>
      <c r="AC78" s="311"/>
      <c r="AD78" s="311"/>
      <c r="AE78" s="311"/>
      <c r="AF78" s="311"/>
      <c r="AG78" s="311"/>
      <c r="AH78" s="311"/>
      <c r="AI78" s="311"/>
      <c r="AJ78" s="311"/>
      <c r="AK78" s="311"/>
      <c r="AL78" s="311"/>
      <c r="AM78" s="311"/>
      <c r="AN78" s="311"/>
      <c r="AO78" s="311"/>
      <c r="AP78" s="311"/>
      <c r="AQ78" s="311"/>
      <c r="AR78" s="311"/>
      <c r="AS78" s="311"/>
      <c r="AT78" s="311"/>
      <c r="AU78" s="311"/>
      <c r="AV78" s="311"/>
      <c r="AW78" s="311"/>
    </row>
    <row r="79" spans="1:49" s="312" customFormat="1" ht="63.75" x14ac:dyDescent="0.2">
      <c r="A79" s="262"/>
      <c r="B79" s="362" t="str">
        <f t="shared" ref="B79:B80" si="9">B65</f>
        <v>Feature-length documentary</v>
      </c>
      <c r="C79" s="363" t="s">
        <v>62</v>
      </c>
      <c r="D79" s="446" t="str">
        <f>IF(A$63=2,IF($E$15&lt;&gt;"Yes",IF($E$12&lt;&gt;"Yes",G79,MIN(G79+M79,ROUND(0.84*$E$7,0))),IF($E$12&lt;&gt;"Yes",MIN((G79+N(J79)),ROUND((0.84*$E$7),0)),MIN((N(G79)+N(J79)+N(M79)),ROUND((0.84*$E$7),0)))),"N/A")</f>
        <v>N/A</v>
      </c>
      <c r="E79" s="365" t="str">
        <f>IF($A$63=2,IF(OR($C$29+IF($E$12="Yes",$E$13,0)&gt;D79,H79="No",K79="No",N79="No"),"No","Yes"), "N/A")</f>
        <v>N/A</v>
      </c>
      <c r="F79" s="344" t="str">
        <f>IF(E79="No",MAX($C$29+$E$13-D79,N(I79)+N(L79)+N(O79)),"N/A")</f>
        <v>N/A</v>
      </c>
      <c r="G79" s="344" t="str">
        <f>IF(A$63=2,IF((0.49*$E$7)&lt;400000,ROUND((0.49*$E$7),0),400000),"N/A")</f>
        <v>N/A</v>
      </c>
      <c r="H79" s="365" t="str">
        <f>IF($A$63=2,IF($E$17&gt;G79,"No","Yes"), "N/A")</f>
        <v>N/A</v>
      </c>
      <c r="I79" s="344" t="str">
        <f>IF(H79="No",$E$17-G79,"N/A")</f>
        <v>N/A</v>
      </c>
      <c r="J79" s="344" t="str">
        <f>IF($A$63=2,IF($E$15="Yes",IF($I$63=4,ROUND(($F$10*$E$7),0)-$E$44,ROUND(($F$10*$E$7),0)),"N/A"),"N/A")</f>
        <v>N/A</v>
      </c>
      <c r="K79" s="365" t="str">
        <f>IF(J79="N/A","N/A",IF($A$63=2,IF(E16&gt;J79,"No","Yes"), "N/A"))</f>
        <v>N/A</v>
      </c>
      <c r="L79" s="344" t="str">
        <f>IF(K79="No",$E$16-J79,"N/A")</f>
        <v>N/A</v>
      </c>
      <c r="M79" s="344" t="str">
        <f>IF(A63=2,IF($E$12="Yes",
                                   IF($I$63=1,MIN(ROUND(0.15*$E$7,0),1000000),
                                   IF(AND($I$63=2,E14="Yes"),MIN(ROUND(0.25*$E$7,0),900000),
                                   IF(AND($I$63=2,E14&lt;&gt;"Yes"),MIN(ROUND(0.15*$E$7,0),900000),
                                   IF($I$63=3,MIN(ROUND(0.3*$E$7,0),200000),"N/A")))),
   "N/A"),
"N/A")</f>
        <v>N/A</v>
      </c>
      <c r="N79" s="447" t="str">
        <f>IF(M79="N/A","N/A",IF($E$13&gt;M79,"No","Yes"))</f>
        <v>N/A</v>
      </c>
      <c r="O79" s="295" t="str">
        <f>IF(N79="No",$E$13-M79,"N/A")</f>
        <v>N/A</v>
      </c>
      <c r="P79" s="311"/>
      <c r="Q79" s="311"/>
      <c r="R79" s="311"/>
      <c r="S79" s="311"/>
      <c r="T79" s="311"/>
      <c r="U79" s="311"/>
      <c r="V79" s="311"/>
      <c r="W79" s="311"/>
      <c r="X79" s="311"/>
      <c r="Y79" s="311"/>
      <c r="Z79" s="311"/>
      <c r="AA79" s="311"/>
      <c r="AB79" s="311"/>
      <c r="AC79" s="311"/>
      <c r="AD79" s="311"/>
      <c r="AE79" s="311"/>
      <c r="AF79" s="311"/>
      <c r="AG79" s="311"/>
      <c r="AH79" s="311"/>
      <c r="AI79" s="311"/>
      <c r="AJ79" s="311"/>
      <c r="AK79" s="311"/>
      <c r="AL79" s="311"/>
      <c r="AM79" s="311"/>
      <c r="AN79" s="311"/>
      <c r="AO79" s="311"/>
      <c r="AP79" s="311"/>
      <c r="AQ79" s="311"/>
      <c r="AR79" s="311"/>
      <c r="AS79" s="311"/>
    </row>
    <row r="80" spans="1:49" s="312" customFormat="1" ht="51" x14ac:dyDescent="0.2">
      <c r="A80" s="262"/>
      <c r="B80" s="362" t="str">
        <f t="shared" si="9"/>
        <v>Others POV Projects</v>
      </c>
      <c r="C80" s="363" t="s">
        <v>63</v>
      </c>
      <c r="D80" s="344" t="str">
        <f>IF(A$63=3,IF($E$15&lt;&gt;"Yes",IF($E$12&lt;&gt;"Yes",G80,MIN(G80+M80,ROUND(0.84*$E$7,0))),IF($E$12&lt;&gt;"Yes",MIN((G80+N(J80)),ROUND((0.84*$E$7),0)),MIN((N(G80)+N(J80)+N(M80)),ROUND((0.84*$E$7),0)))),"N/A")</f>
        <v>N/A</v>
      </c>
      <c r="E80" s="365" t="str">
        <f>IF($A$63=3,IF(OR($C$29+IF($E$12="Yes",$E$13,0)&gt;D80,H80="No",K80="No",N80="No"),"No","Yes"), "N/A")</f>
        <v>N/A</v>
      </c>
      <c r="F80" s="344" t="str">
        <f>IF(E80="No",MAX($C$29+$E$13-D80,N(I80)+N(L80)+N(O80)),"N/A")</f>
        <v>N/A</v>
      </c>
      <c r="G80" s="344" t="str">
        <f>IF(A$63=3,IF((0.49*$E$7)&lt;400000,ROUND((0.49*$E$7),0),400000),"N/A")</f>
        <v>N/A</v>
      </c>
      <c r="H80" s="365" t="str">
        <f>IF($A$63=3,IF($E$17&gt;G80,"No","Yes"), "N/A")</f>
        <v>N/A</v>
      </c>
      <c r="I80" s="344" t="str">
        <f>IF(H80="No",$E$17-G80,"N/A")</f>
        <v>N/A</v>
      </c>
      <c r="J80" s="344" t="str">
        <f>IF($A$63=3,IF($E$15="Yes",IF($I$63=4,ROUND(($F$10*$E$7),0)-$E$44,ROUND(($F$10*$E$7),0)),"N/A"),"N/A")</f>
        <v>N/A</v>
      </c>
      <c r="K80" s="365" t="str">
        <f>IF(J80="N/A","N/A",IF($A$63=3,IF($E$16&gt;J80,"No","Yes"), "N/A"))</f>
        <v>N/A</v>
      </c>
      <c r="L80" s="344" t="str">
        <f>IF(K80="No",$E$16-J80,"N/A")</f>
        <v>N/A</v>
      </c>
      <c r="M80" s="344" t="str">
        <f>IF(A63=3,IF($E$12="Yes",
                                   IF($I$63=1,MIN(ROUND(0.15*$E$7,0),1000000),
                                   IF(AND($I$63=2,E14="Yes"),MIN(ROUND(0.25*$E$7,0),900000),
                                   IF(AND($I$63=2,E14&lt;&gt;"Yes"),MIN(ROUND(0.15*$E$7,0),900000),
                                   IF($I$63=3,MIN(ROUND(0.3*$E$7,0),200000),"N/A")))),
   "N/A"),
"N/A")</f>
        <v>N/A</v>
      </c>
      <c r="N80" s="447" t="str">
        <f>IF(M80="N/A","N/A",IF($E$13&gt;M80,"No","Yes"))</f>
        <v>N/A</v>
      </c>
      <c r="O80" s="295" t="str">
        <f>IF(N80="No",$E$13-M80,"N/A")</f>
        <v>N/A</v>
      </c>
      <c r="P80" s="311"/>
      <c r="Q80" s="311"/>
      <c r="R80" s="375"/>
      <c r="S80" s="311"/>
      <c r="T80" s="311"/>
      <c r="U80" s="311"/>
      <c r="V80" s="311"/>
      <c r="W80" s="311"/>
      <c r="X80" s="311"/>
      <c r="Y80" s="311"/>
      <c r="Z80" s="311"/>
      <c r="AA80" s="311"/>
      <c r="AB80" s="311"/>
      <c r="AC80" s="311"/>
      <c r="AD80" s="311"/>
      <c r="AE80" s="311"/>
      <c r="AF80" s="311"/>
      <c r="AG80" s="311"/>
      <c r="AH80" s="311"/>
      <c r="AI80" s="311"/>
      <c r="AJ80" s="311"/>
      <c r="AK80" s="311"/>
      <c r="AL80" s="311"/>
      <c r="AM80" s="311"/>
      <c r="AN80" s="311"/>
      <c r="AO80" s="311"/>
      <c r="AP80" s="311"/>
    </row>
    <row r="81" spans="1:41" s="312" customFormat="1" ht="15.75" hidden="1" x14ac:dyDescent="0.2">
      <c r="A81" s="448"/>
      <c r="B81" s="448"/>
      <c r="C81" s="448"/>
      <c r="D81" s="448"/>
      <c r="E81" s="448"/>
      <c r="F81" s="448"/>
      <c r="G81" s="448"/>
      <c r="H81" s="448"/>
      <c r="I81" s="448"/>
      <c r="J81" s="448"/>
      <c r="K81" s="448"/>
      <c r="L81" s="448"/>
      <c r="M81" s="448"/>
      <c r="N81" s="448"/>
      <c r="O81" s="448"/>
      <c r="P81" s="311"/>
      <c r="Q81" s="311"/>
      <c r="R81" s="311"/>
      <c r="S81" s="311"/>
      <c r="T81" s="311"/>
      <c r="U81" s="311"/>
      <c r="V81" s="311"/>
      <c r="W81" s="311"/>
      <c r="X81" s="311"/>
      <c r="Y81" s="311"/>
      <c r="Z81" s="311"/>
      <c r="AA81" s="311"/>
      <c r="AB81" s="311"/>
      <c r="AC81" s="311"/>
      <c r="AD81" s="311"/>
      <c r="AE81" s="311"/>
      <c r="AF81" s="311"/>
      <c r="AG81" s="311"/>
      <c r="AH81" s="311"/>
      <c r="AI81" s="311"/>
      <c r="AJ81" s="311"/>
      <c r="AK81" s="311"/>
      <c r="AL81" s="311"/>
      <c r="AM81" s="311"/>
      <c r="AN81" s="311"/>
      <c r="AO81" s="311"/>
    </row>
    <row r="82" spans="1:41" s="312" customFormat="1" ht="15.75" hidden="1" x14ac:dyDescent="0.2">
      <c r="A82" s="448"/>
      <c r="B82" s="448"/>
      <c r="C82" s="448"/>
      <c r="D82" s="448"/>
      <c r="E82" s="448"/>
      <c r="F82" s="448"/>
      <c r="G82" s="448"/>
      <c r="H82" s="448"/>
      <c r="I82" s="448"/>
      <c r="J82" s="448"/>
      <c r="K82" s="448"/>
      <c r="L82" s="448"/>
      <c r="M82" s="448"/>
      <c r="N82" s="448"/>
      <c r="O82" s="448"/>
      <c r="P82" s="311"/>
      <c r="Q82" s="311"/>
      <c r="R82" s="311"/>
      <c r="S82" s="311"/>
      <c r="T82" s="311"/>
      <c r="U82" s="311"/>
      <c r="V82" s="311"/>
      <c r="W82" s="311"/>
      <c r="X82" s="311"/>
      <c r="Y82" s="311"/>
      <c r="Z82" s="311"/>
      <c r="AA82" s="311"/>
      <c r="AB82" s="311"/>
      <c r="AC82" s="311"/>
      <c r="AD82" s="311"/>
      <c r="AE82" s="311"/>
      <c r="AF82" s="311"/>
      <c r="AG82" s="311"/>
      <c r="AH82" s="311"/>
      <c r="AI82" s="311"/>
      <c r="AJ82" s="311"/>
      <c r="AK82" s="311"/>
      <c r="AL82" s="311"/>
      <c r="AM82" s="311"/>
      <c r="AN82" s="311"/>
      <c r="AO82" s="311"/>
    </row>
    <row r="83" spans="1:41" s="312" customFormat="1" ht="15.75" hidden="1" x14ac:dyDescent="0.2">
      <c r="A83" s="448"/>
      <c r="B83" s="448"/>
      <c r="C83" s="448"/>
      <c r="D83" s="448"/>
      <c r="E83" s="448"/>
      <c r="F83" s="448"/>
      <c r="G83" s="448"/>
      <c r="H83" s="448"/>
      <c r="I83" s="448"/>
      <c r="J83" s="448"/>
      <c r="K83" s="448"/>
      <c r="L83" s="448"/>
      <c r="M83" s="448"/>
      <c r="N83" s="448"/>
      <c r="O83" s="448"/>
      <c r="P83" s="311"/>
      <c r="Q83" s="311"/>
      <c r="R83" s="311"/>
      <c r="S83" s="311"/>
      <c r="T83" s="311"/>
      <c r="U83" s="311"/>
      <c r="V83" s="311"/>
      <c r="W83" s="311"/>
      <c r="X83" s="311"/>
      <c r="Y83" s="311"/>
      <c r="Z83" s="311"/>
      <c r="AA83" s="311"/>
      <c r="AB83" s="311"/>
      <c r="AC83" s="311"/>
      <c r="AD83" s="311"/>
      <c r="AE83" s="311"/>
      <c r="AF83" s="311"/>
      <c r="AG83" s="311"/>
      <c r="AH83" s="311"/>
      <c r="AI83" s="311"/>
      <c r="AJ83" s="311"/>
      <c r="AK83" s="311"/>
      <c r="AL83" s="311"/>
      <c r="AM83" s="311"/>
      <c r="AN83" s="311"/>
      <c r="AO83" s="311"/>
    </row>
    <row r="84" spans="1:41" s="312" customFormat="1" ht="15.75" hidden="1" x14ac:dyDescent="0.2">
      <c r="A84" s="448"/>
      <c r="B84" s="448"/>
      <c r="C84" s="448"/>
      <c r="D84" s="448"/>
      <c r="E84" s="448"/>
      <c r="F84" s="448"/>
      <c r="G84" s="448"/>
      <c r="H84" s="448"/>
      <c r="I84" s="448"/>
      <c r="J84" s="448"/>
      <c r="K84" s="448"/>
      <c r="L84" s="448"/>
      <c r="M84" s="448"/>
      <c r="N84" s="448"/>
      <c r="O84" s="448"/>
      <c r="P84" s="311"/>
      <c r="Q84" s="311"/>
      <c r="R84" s="311"/>
      <c r="S84" s="311"/>
      <c r="T84" s="311"/>
      <c r="U84" s="311"/>
      <c r="V84" s="311"/>
      <c r="W84" s="311"/>
      <c r="X84" s="311"/>
      <c r="Y84" s="311"/>
      <c r="Z84" s="311"/>
      <c r="AA84" s="311"/>
      <c r="AB84" s="311"/>
      <c r="AC84" s="311"/>
      <c r="AD84" s="311"/>
      <c r="AE84" s="311"/>
      <c r="AF84" s="311"/>
      <c r="AG84" s="311"/>
      <c r="AH84" s="311"/>
      <c r="AI84" s="311"/>
      <c r="AJ84" s="311"/>
      <c r="AK84" s="311"/>
      <c r="AL84" s="311"/>
      <c r="AM84" s="311"/>
      <c r="AN84" s="311"/>
      <c r="AO84" s="311"/>
    </row>
    <row r="85" spans="1:41" s="312" customFormat="1" ht="15.75" hidden="1" x14ac:dyDescent="0.2">
      <c r="A85" s="448"/>
      <c r="B85" s="448"/>
      <c r="C85" s="448"/>
      <c r="D85" s="448"/>
      <c r="E85" s="448"/>
      <c r="F85" s="448"/>
      <c r="G85" s="448"/>
      <c r="H85" s="448"/>
      <c r="I85" s="448"/>
      <c r="J85" s="448"/>
      <c r="K85" s="448"/>
      <c r="L85" s="448"/>
      <c r="M85" s="448"/>
      <c r="N85" s="448"/>
      <c r="O85" s="448"/>
      <c r="P85" s="311"/>
      <c r="Q85" s="311"/>
      <c r="R85" s="311"/>
      <c r="S85" s="311"/>
      <c r="T85" s="311"/>
      <c r="U85" s="311"/>
      <c r="V85" s="311"/>
      <c r="W85" s="311"/>
      <c r="X85" s="311"/>
      <c r="Y85" s="311"/>
      <c r="Z85" s="311"/>
      <c r="AA85" s="311"/>
      <c r="AB85" s="311"/>
      <c r="AC85" s="311"/>
      <c r="AD85" s="311"/>
      <c r="AE85" s="311"/>
      <c r="AF85" s="311"/>
      <c r="AG85" s="311"/>
      <c r="AH85" s="311"/>
      <c r="AI85" s="311"/>
    </row>
    <row r="86" spans="1:41" s="378" customFormat="1" ht="15.75" x14ac:dyDescent="0.2">
      <c r="A86" s="448"/>
      <c r="B86" s="448"/>
      <c r="C86" s="448"/>
      <c r="D86" s="448"/>
      <c r="E86" s="448"/>
      <c r="F86" s="448"/>
      <c r="G86" s="448"/>
      <c r="H86" s="448"/>
      <c r="I86" s="448"/>
      <c r="J86" s="448"/>
      <c r="K86" s="448"/>
      <c r="L86" s="448"/>
      <c r="M86" s="448"/>
      <c r="N86" s="448"/>
      <c r="O86" s="448"/>
      <c r="P86" s="377"/>
      <c r="Q86" s="377"/>
      <c r="R86" s="377"/>
      <c r="S86" s="377"/>
      <c r="T86" s="377"/>
      <c r="U86" s="377"/>
      <c r="V86" s="377"/>
      <c r="W86" s="377"/>
      <c r="X86" s="377"/>
      <c r="Y86" s="377"/>
      <c r="Z86" s="377"/>
      <c r="AA86" s="377"/>
      <c r="AB86" s="377"/>
      <c r="AC86" s="377"/>
      <c r="AD86" s="377"/>
      <c r="AE86" s="377"/>
      <c r="AF86" s="377"/>
      <c r="AG86" s="377"/>
      <c r="AH86" s="377"/>
      <c r="AI86" s="377"/>
      <c r="AJ86" s="377"/>
      <c r="AK86" s="377"/>
      <c r="AL86" s="377"/>
    </row>
    <row r="87" spans="1:41" s="312" customFormat="1" ht="15.75" x14ac:dyDescent="0.2">
      <c r="A87" s="311"/>
      <c r="B87" s="379"/>
      <c r="C87" s="311"/>
      <c r="D87" s="311"/>
      <c r="E87" s="311"/>
      <c r="F87" s="311"/>
      <c r="G87" s="311"/>
      <c r="H87" s="311"/>
      <c r="I87" s="311"/>
      <c r="J87" s="311"/>
      <c r="K87" s="311"/>
      <c r="L87" s="311"/>
      <c r="M87" s="262"/>
      <c r="N87" s="262"/>
      <c r="O87" s="262"/>
      <c r="P87" s="311"/>
      <c r="Q87" s="311"/>
      <c r="R87" s="311"/>
      <c r="S87" s="311"/>
      <c r="T87" s="311"/>
      <c r="U87" s="311"/>
      <c r="V87" s="311"/>
      <c r="W87" s="311"/>
      <c r="X87" s="311"/>
      <c r="Y87" s="311"/>
      <c r="Z87" s="311"/>
      <c r="AA87" s="311"/>
      <c r="AB87" s="311"/>
      <c r="AC87" s="311"/>
      <c r="AD87" s="311"/>
      <c r="AE87" s="311"/>
      <c r="AF87" s="311"/>
      <c r="AG87" s="311"/>
      <c r="AH87" s="311"/>
      <c r="AI87" s="311"/>
      <c r="AJ87" s="311"/>
      <c r="AK87" s="311"/>
    </row>
    <row r="88" spans="1:41" s="312" customFormat="1" ht="30" customHeight="1" x14ac:dyDescent="0.2">
      <c r="A88" s="380" t="s">
        <v>64</v>
      </c>
      <c r="B88" s="381" t="str">
        <f>K64</f>
        <v>English Regional Production Bonus</v>
      </c>
      <c r="C88" s="521" t="s">
        <v>65</v>
      </c>
      <c r="D88" s="522"/>
      <c r="E88" s="522"/>
      <c r="F88" s="523"/>
      <c r="G88" s="382"/>
      <c r="H88" s="311"/>
      <c r="I88" s="311"/>
      <c r="J88" s="311"/>
      <c r="K88" s="311"/>
      <c r="L88" s="311"/>
      <c r="M88" s="262"/>
      <c r="N88" s="262"/>
      <c r="O88" s="262"/>
      <c r="P88" s="311"/>
      <c r="Q88" s="311"/>
      <c r="R88" s="311"/>
      <c r="S88" s="311"/>
      <c r="T88" s="311"/>
      <c r="U88" s="311"/>
      <c r="V88" s="311"/>
      <c r="W88" s="311"/>
      <c r="X88" s="311"/>
      <c r="Y88" s="311"/>
      <c r="Z88" s="311"/>
      <c r="AA88" s="311"/>
      <c r="AB88" s="311"/>
      <c r="AC88" s="311"/>
      <c r="AD88" s="311"/>
      <c r="AE88" s="311"/>
      <c r="AF88" s="311"/>
      <c r="AG88" s="311"/>
      <c r="AH88" s="311"/>
      <c r="AI88" s="311"/>
      <c r="AJ88" s="311"/>
      <c r="AK88" s="311"/>
    </row>
    <row r="89" spans="1:41" s="312" customFormat="1" ht="30" customHeight="1" x14ac:dyDescent="0.2">
      <c r="A89" s="380" t="s">
        <v>64</v>
      </c>
      <c r="B89" s="381" t="str">
        <f>K65</f>
        <v>Anglophone Minority Incentive</v>
      </c>
      <c r="C89" s="521" t="str">
        <f>IF(E14&lt;&gt;"Yes", "15% of Eligible Costs (Max $900,000) ", "25% of Eligible Costs (Max $900,000) ")</f>
        <v xml:space="preserve">15% of Eligible Costs (Max $900,000) </v>
      </c>
      <c r="D89" s="522"/>
      <c r="E89" s="522"/>
      <c r="F89" s="523"/>
      <c r="G89" s="382"/>
      <c r="H89" s="311"/>
      <c r="I89" s="311"/>
      <c r="J89" s="311"/>
      <c r="K89" s="311"/>
      <c r="L89" s="311"/>
      <c r="M89" s="262"/>
      <c r="N89" s="262"/>
      <c r="O89" s="262"/>
      <c r="P89" s="311"/>
      <c r="Q89" s="311"/>
      <c r="R89" s="311"/>
      <c r="S89" s="311"/>
      <c r="T89" s="311"/>
      <c r="U89" s="311"/>
      <c r="V89" s="311"/>
      <c r="W89" s="311"/>
      <c r="X89" s="311"/>
      <c r="Y89" s="311"/>
      <c r="Z89" s="311"/>
      <c r="AA89" s="311"/>
      <c r="AB89" s="311"/>
      <c r="AC89" s="311"/>
      <c r="AD89" s="311"/>
      <c r="AE89" s="311"/>
      <c r="AF89" s="311"/>
      <c r="AG89" s="311"/>
      <c r="AH89" s="311"/>
      <c r="AI89" s="311"/>
      <c r="AJ89" s="311"/>
      <c r="AK89" s="311"/>
    </row>
    <row r="90" spans="1:41" s="312" customFormat="1" ht="30" customHeight="1" x14ac:dyDescent="0.2">
      <c r="A90" s="380" t="s">
        <v>64</v>
      </c>
      <c r="B90" s="381" t="str">
        <f>K66</f>
        <v>Northen Production Incentive</v>
      </c>
      <c r="C90" s="521" t="s">
        <v>66</v>
      </c>
      <c r="D90" s="522"/>
      <c r="E90" s="522"/>
      <c r="F90" s="523"/>
      <c r="G90" s="382"/>
      <c r="H90" s="311"/>
      <c r="I90" s="311"/>
      <c r="J90" s="311"/>
      <c r="K90" s="311"/>
      <c r="L90" s="311"/>
      <c r="M90" s="262"/>
      <c r="N90" s="262"/>
      <c r="O90" s="262"/>
      <c r="P90" s="311"/>
      <c r="Q90" s="311"/>
      <c r="R90" s="311"/>
      <c r="S90" s="311"/>
      <c r="T90" s="311"/>
      <c r="U90" s="311"/>
      <c r="V90" s="311"/>
      <c r="W90" s="311"/>
      <c r="X90" s="311"/>
      <c r="Y90" s="311"/>
      <c r="Z90" s="311"/>
      <c r="AA90" s="311"/>
      <c r="AB90" s="311"/>
      <c r="AC90" s="311"/>
      <c r="AD90" s="311"/>
      <c r="AE90" s="311"/>
      <c r="AF90" s="311"/>
      <c r="AG90" s="311"/>
      <c r="AH90" s="311"/>
      <c r="AI90" s="311"/>
      <c r="AJ90" s="311"/>
      <c r="AK90" s="311"/>
    </row>
    <row r="91" spans="1:41" s="68" customFormat="1" ht="15.75" x14ac:dyDescent="0.2">
      <c r="A91"/>
      <c r="B91"/>
      <c r="C91"/>
      <c r="D91"/>
      <c r="E91"/>
      <c r="F91"/>
      <c r="G91"/>
      <c r="H91" s="51"/>
      <c r="I91" s="51"/>
      <c r="J91" s="51"/>
      <c r="K91" s="51"/>
      <c r="L91" s="51"/>
      <c r="M91" s="99"/>
      <c r="N91" s="99"/>
      <c r="O91" s="99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</row>
    <row r="92" spans="1:41" x14ac:dyDescent="0.2">
      <c r="M92" s="99"/>
      <c r="N92" s="99"/>
      <c r="O92" s="99"/>
      <c r="AL92" s="213"/>
      <c r="AM92" s="213"/>
      <c r="AN92" s="213"/>
      <c r="AO92" s="213"/>
    </row>
    <row r="93" spans="1:41" x14ac:dyDescent="0.2">
      <c r="M93" s="99"/>
      <c r="N93" s="99"/>
      <c r="O93" s="99"/>
      <c r="AL93" s="213"/>
      <c r="AM93" s="213"/>
      <c r="AN93" s="213"/>
      <c r="AO93" s="213"/>
    </row>
    <row r="94" spans="1:41" x14ac:dyDescent="0.2">
      <c r="M94" s="99"/>
      <c r="N94" s="99"/>
      <c r="O94" s="99"/>
      <c r="AL94" s="213"/>
      <c r="AM94" s="213"/>
      <c r="AN94" s="213"/>
      <c r="AO94" s="213"/>
    </row>
    <row r="95" spans="1:41" x14ac:dyDescent="0.2">
      <c r="M95" s="99"/>
      <c r="N95" s="99"/>
      <c r="O95" s="99"/>
      <c r="AL95" s="213"/>
      <c r="AM95" s="213"/>
      <c r="AN95" s="213"/>
      <c r="AO95" s="213"/>
    </row>
    <row r="96" spans="1:41" x14ac:dyDescent="0.2">
      <c r="AL96" s="213"/>
      <c r="AM96" s="213"/>
      <c r="AN96" s="213"/>
      <c r="AO96" s="213"/>
    </row>
    <row r="97" spans="1:41" x14ac:dyDescent="0.2">
      <c r="AL97" s="213"/>
      <c r="AM97" s="213"/>
      <c r="AN97" s="213"/>
      <c r="AO97" s="213"/>
    </row>
    <row r="98" spans="1:41" x14ac:dyDescent="0.2">
      <c r="AL98" s="213"/>
      <c r="AM98" s="213"/>
      <c r="AN98" s="213"/>
      <c r="AO98" s="213"/>
    </row>
    <row r="99" spans="1:41" x14ac:dyDescent="0.2">
      <c r="AL99" s="213"/>
      <c r="AM99" s="213"/>
      <c r="AN99" s="213"/>
      <c r="AO99" s="213"/>
    </row>
    <row r="100" spans="1:41" x14ac:dyDescent="0.2">
      <c r="AL100" s="213"/>
      <c r="AM100" s="213"/>
      <c r="AN100" s="213"/>
      <c r="AO100" s="213"/>
    </row>
    <row r="101" spans="1:41" x14ac:dyDescent="0.2">
      <c r="AL101" s="213"/>
      <c r="AM101" s="213"/>
      <c r="AN101" s="213"/>
      <c r="AO101" s="213"/>
    </row>
    <row r="102" spans="1:41" x14ac:dyDescent="0.2">
      <c r="AL102" s="213"/>
      <c r="AM102" s="213"/>
      <c r="AN102" s="213"/>
      <c r="AO102" s="213"/>
    </row>
    <row r="103" spans="1:41" s="115" customFormat="1" x14ac:dyDescent="0.2">
      <c r="A103" s="5"/>
      <c r="B103" s="220"/>
      <c r="C103" s="6"/>
      <c r="D103" s="6"/>
      <c r="E103" s="5"/>
      <c r="F103" s="5"/>
      <c r="G103" s="5"/>
      <c r="H103" s="5"/>
      <c r="I103" s="5"/>
      <c r="J103" s="5"/>
      <c r="K103" s="5"/>
      <c r="L103" s="5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211"/>
      <c r="AM103" s="211"/>
      <c r="AN103" s="211"/>
      <c r="AO103" s="211"/>
    </row>
    <row r="104" spans="1:41" s="115" customFormat="1" x14ac:dyDescent="0.2">
      <c r="A104" s="5"/>
      <c r="B104" s="528"/>
      <c r="C104" s="528"/>
      <c r="D104" s="528"/>
      <c r="E104" s="5"/>
      <c r="F104" s="5"/>
      <c r="G104" s="5"/>
      <c r="H104" s="5"/>
      <c r="I104" s="5"/>
      <c r="J104" s="5"/>
      <c r="K104" s="5"/>
      <c r="L104" s="5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211"/>
      <c r="AM104" s="211"/>
      <c r="AN104" s="211"/>
      <c r="AO104" s="211"/>
    </row>
    <row r="105" spans="1:41" s="115" customFormat="1" x14ac:dyDescent="0.2">
      <c r="A105" s="5"/>
      <c r="B105" s="517"/>
      <c r="C105" s="517"/>
      <c r="D105" s="517"/>
      <c r="E105" s="5"/>
      <c r="F105" s="5"/>
      <c r="G105" s="5"/>
      <c r="H105" s="5"/>
      <c r="I105" s="5"/>
      <c r="J105" s="5"/>
      <c r="K105" s="5"/>
      <c r="L105" s="5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211"/>
      <c r="AM105" s="211"/>
      <c r="AN105" s="211"/>
      <c r="AO105" s="211"/>
    </row>
  </sheetData>
  <sheetProtection algorithmName="SHA-512" hashValue="GNMEN/V4zYmm257Hgf4kk+Oth6MCmP3QMaKRawcPswazqFFKTlxeDDePDJuTAg2XYG+xACsNA1yJPESDxxLEAg==" saltValue="GlmlddROlkz/S4/cs50o3g==" spinCount="100000" sheet="1" objects="1" scenarios="1"/>
  <sortState xmlns:xlrd2="http://schemas.microsoft.com/office/spreadsheetml/2017/richdata2" ref="C36:D43">
    <sortCondition sortBy="icon" ref="C36"/>
  </sortState>
  <dataConsolidate/>
  <mergeCells count="36">
    <mergeCell ref="J76:L76"/>
    <mergeCell ref="M78:O78"/>
    <mergeCell ref="B31:K32"/>
    <mergeCell ref="M76:O76"/>
    <mergeCell ref="A44:B44"/>
    <mergeCell ref="I49:J49"/>
    <mergeCell ref="H34:I34"/>
    <mergeCell ref="A46:E46"/>
    <mergeCell ref="G62:H62"/>
    <mergeCell ref="A35:B35"/>
    <mergeCell ref="B105:D105"/>
    <mergeCell ref="G76:I76"/>
    <mergeCell ref="C88:F88"/>
    <mergeCell ref="C89:F89"/>
    <mergeCell ref="C90:F90"/>
    <mergeCell ref="B77:C77"/>
    <mergeCell ref="D76:F76"/>
    <mergeCell ref="B104:D104"/>
    <mergeCell ref="D1:K1"/>
    <mergeCell ref="A5:B5"/>
    <mergeCell ref="J2:K2"/>
    <mergeCell ref="B2:D2"/>
    <mergeCell ref="H2:I2"/>
    <mergeCell ref="F2:G2"/>
    <mergeCell ref="I13:J13"/>
    <mergeCell ref="A14:D14"/>
    <mergeCell ref="C10:D10"/>
    <mergeCell ref="C7:D7"/>
    <mergeCell ref="A31:A32"/>
    <mergeCell ref="C12:D12"/>
    <mergeCell ref="C15:D15"/>
    <mergeCell ref="C16:D16"/>
    <mergeCell ref="C17:D17"/>
    <mergeCell ref="A29:B29"/>
    <mergeCell ref="I14:J14"/>
    <mergeCell ref="A21:B21"/>
  </mergeCells>
  <phoneticPr fontId="0" type="noConversion"/>
  <conditionalFormatting sqref="E14">
    <cfRule type="expression" dxfId="20" priority="33">
      <formula>I63&lt;&gt;2</formula>
    </cfRule>
  </conditionalFormatting>
  <conditionalFormatting sqref="E65:E66">
    <cfRule type="containsText" dxfId="19" priority="2" operator="containsText" text="No">
      <formula>NOT(ISERROR(SEARCH("No",E65)))</formula>
    </cfRule>
  </conditionalFormatting>
  <conditionalFormatting sqref="E79:E80 H79:H80 K79:K80 N79:N80">
    <cfRule type="containsText" dxfId="18" priority="3" operator="containsText" text="No">
      <formula>NOT(ISERROR(SEARCH("No",E79)))</formula>
    </cfRule>
  </conditionalFormatting>
  <conditionalFormatting sqref="G62">
    <cfRule type="containsText" dxfId="17" priority="1" operator="containsText" text="(4) The indicated Market Contribution exceeds the Maximal Market Contribution.">
      <formula>NOT(ISERROR(SEARCH("(4) The indicated Market Contribution exceeds the Maximal Market Contribution.",G62)))</formula>
    </cfRule>
  </conditionalFormatting>
  <dataValidations xWindow="1414" yWindow="775" count="12">
    <dataValidation type="date" allowBlank="1" showInputMessage="1" showErrorMessage="1" promptTitle="Date" prompt="ex. Y-M-D" sqref="G23:G28" xr:uid="{00000000-0002-0000-0000-000000000000}">
      <formula1>36526</formula1>
      <formula2>401749</formula2>
    </dataValidation>
    <dataValidation type="decimal" allowBlank="1" showErrorMessage="1" errorTitle="Not a number" error="Enter the Envelope Contribution for this licence" sqref="C28 C25:C26" xr:uid="{00000000-0002-0000-0000-000001000000}">
      <formula1>0</formula1>
      <formula2>999999999999999</formula2>
    </dataValidation>
    <dataValidation type="whole" allowBlank="1" showInputMessage="1" showErrorMessage="1" promptTitle="# of months" prompt="Enter the licence term in months. Equations are allowable (i.e. =6*12)" sqref="I23:I28" xr:uid="{00000000-0002-0000-0000-000002000000}">
      <formula1>1</formula1>
      <formula2>999</formula2>
    </dataValidation>
    <dataValidation allowBlank="1" showInputMessage="1" showErrorMessage="1" promptTitle="# of Months" prompt="Enter adjusted exclusivity in &quot;number of months&quot;." sqref="W37:W42" xr:uid="{00000000-0002-0000-0000-000004000000}"/>
    <dataValidation type="whole" allowBlank="1" showInputMessage="1" showErrorMessage="1" sqref="J23:J28" xr:uid="{00000000-0002-0000-0000-000005000000}">
      <formula1>0</formula1>
      <formula2>999</formula2>
    </dataValidation>
    <dataValidation type="decimal" allowBlank="1" showInputMessage="1" showErrorMessage="1" errorTitle="Not a number" error="Enter the Envelope Contribution for this licence" sqref="C23:C24" xr:uid="{494A3621-210E-40AC-9060-429C643BE91D}">
      <formula1>0</formula1>
      <formula2>999999999999999</formula2>
    </dataValidation>
    <dataValidation type="whole" allowBlank="1" showInputMessage="1" showErrorMessage="1" errorTitle="Not a number" error="Enter the Envelope Contribution for this licence" sqref="G44 E37:E43" xr:uid="{00000000-0002-0000-0000-000003000000}">
      <formula1>0</formula1>
      <formula2>999999999999999</formula2>
    </dataValidation>
    <dataValidation allowBlank="1" showInputMessage="1" showErrorMessage="1" prompt="Please enter licences first, see note (1) here-above" sqref="E23:F23" xr:uid="{F93FEAD3-605A-4915-AEB2-67235A0CDFAE}"/>
    <dataValidation type="list" allowBlank="1" showInputMessage="1" showErrorMessage="1" sqref="E10" xr:uid="{00000000-0002-0000-0000-000006000000}">
      <formula1>$M$64:$M$65</formula1>
    </dataValidation>
    <dataValidation type="list" allowBlank="1" showInputMessage="1" showErrorMessage="1" sqref="E15 E12" xr:uid="{6C2CD30B-073F-4A7D-9A86-77ACA0BABDFC}">
      <formula1>$M$64:$M$66</formula1>
    </dataValidation>
    <dataValidation type="list" allowBlank="1" showInputMessage="1" showErrorMessage="1" sqref="E14" xr:uid="{0EDAE355-C10A-4247-8AFF-372071998083}">
      <formula1>IF(I$63=2,M64:M66,M$66)</formula1>
    </dataValidation>
    <dataValidation type="custom" showInputMessage="1" showErrorMessage="1" error="Please do not delete" sqref="A63 I63" xr:uid="{EF3DA8AF-DB10-4A52-B93D-4C7532A36E5C}">
      <formula1>""</formula1>
    </dataValidation>
  </dataValidations>
  <printOptions horizontalCentered="1"/>
  <pageMargins left="0.6692913385826772" right="0.6692913385826772" top="0.59055118110236227" bottom="0.6692913385826772" header="0.51181102362204722" footer="0.51181102362204722"/>
  <pageSetup scale="63" fitToHeight="3" orientation="landscape" r:id="rId1"/>
  <headerFooter alignWithMargins="0"/>
  <rowBreaks count="2" manualBreakCount="2">
    <brk id="33" max="14" man="1"/>
    <brk id="74" max="1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00" r:id="rId4" name="Drop Down 76">
              <controlPr locked="0" defaultSize="0" autoLine="0" autoPict="0">
                <anchor moveWithCells="1">
                  <from>
                    <xdr:col>2</xdr:col>
                    <xdr:colOff>76200</xdr:colOff>
                    <xdr:row>4</xdr:row>
                    <xdr:rowOff>9525</xdr:rowOff>
                  </from>
                  <to>
                    <xdr:col>5</xdr:col>
                    <xdr:colOff>304800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5" name="Drop Down 91">
              <controlPr locked="0" defaultSize="0" autoLine="0" autoPict="0">
                <anchor moveWithCells="1">
                  <from>
                    <xdr:col>1</xdr:col>
                    <xdr:colOff>847725</xdr:colOff>
                    <xdr:row>12</xdr:row>
                    <xdr:rowOff>38100</xdr:rowOff>
                  </from>
                  <to>
                    <xdr:col>3</xdr:col>
                    <xdr:colOff>914400</xdr:colOff>
                    <xdr:row>12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FC5B6-0061-4B4E-8807-37ED1BE1E32B}">
  <sheetPr>
    <tabColor rgb="FFFF0000"/>
  </sheetPr>
  <dimension ref="A1:AW98"/>
  <sheetViews>
    <sheetView zoomScaleNormal="100" zoomScaleSheetLayoutView="100" workbookViewId="0">
      <selection activeCell="B2" sqref="B2:D2"/>
    </sheetView>
  </sheetViews>
  <sheetFormatPr baseColWidth="10" defaultColWidth="8.88671875" defaultRowHeight="15" x14ac:dyDescent="0.2"/>
  <cols>
    <col min="1" max="1" width="7.77734375" style="5" customWidth="1"/>
    <col min="2" max="2" width="17.44140625" style="7" customWidth="1"/>
    <col min="3" max="11" width="12.6640625" style="5" customWidth="1"/>
    <col min="12" max="12" width="11.77734375" style="5" customWidth="1"/>
    <col min="13" max="15" width="10.77734375" style="5" customWidth="1"/>
    <col min="16" max="16" width="8.88671875" style="5" customWidth="1"/>
    <col min="17" max="17" width="8.88671875" style="5"/>
    <col min="18" max="18" width="9.6640625" style="5" bestFit="1" customWidth="1"/>
    <col min="19" max="20" width="8.88671875" style="5"/>
    <col min="21" max="22" width="8.88671875" style="5" customWidth="1"/>
    <col min="23" max="24" width="8.88671875" style="5" hidden="1" customWidth="1"/>
    <col min="25" max="25" width="0" style="5" hidden="1" customWidth="1"/>
    <col min="26" max="41" width="8.88671875" style="5"/>
    <col min="42" max="16384" width="8.88671875" style="209"/>
  </cols>
  <sheetData>
    <row r="1" spans="1:47" ht="70.150000000000006" customHeight="1" thickBot="1" x14ac:dyDescent="0.25">
      <c r="A1" s="6"/>
      <c r="B1" s="207"/>
      <c r="C1" s="576" t="s">
        <v>200</v>
      </c>
      <c r="D1" s="576"/>
      <c r="E1" s="576"/>
      <c r="F1" s="576"/>
      <c r="G1" s="576"/>
      <c r="H1" s="576"/>
      <c r="I1" s="576"/>
      <c r="J1" s="576"/>
      <c r="K1" s="576"/>
      <c r="AP1" s="213"/>
      <c r="AQ1" s="213"/>
      <c r="AR1" s="213"/>
      <c r="AS1" s="213"/>
      <c r="AT1" s="213"/>
      <c r="AU1" s="213"/>
    </row>
    <row r="2" spans="1:47" s="210" customFormat="1" ht="39.6" customHeight="1" thickBot="1" x14ac:dyDescent="0.25">
      <c r="A2" s="263" t="s">
        <v>67</v>
      </c>
      <c r="B2" s="511"/>
      <c r="C2" s="577"/>
      <c r="D2" s="578"/>
      <c r="E2" s="160" t="s">
        <v>68</v>
      </c>
      <c r="F2" s="511"/>
      <c r="G2" s="579"/>
      <c r="H2" s="580" t="s">
        <v>2</v>
      </c>
      <c r="I2" s="580"/>
      <c r="J2" s="581"/>
      <c r="K2" s="582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236"/>
      <c r="AO2" s="236"/>
      <c r="AP2" s="236"/>
      <c r="AQ2" s="236"/>
      <c r="AR2" s="236"/>
      <c r="AS2" s="236"/>
      <c r="AT2" s="236"/>
      <c r="AU2" s="236"/>
    </row>
    <row r="3" spans="1:47" s="210" customFormat="1" ht="21" x14ac:dyDescent="0.2">
      <c r="A3" s="225" t="s">
        <v>69</v>
      </c>
      <c r="B3" s="121"/>
      <c r="C3" s="122"/>
      <c r="D3" s="10"/>
      <c r="E3" s="237"/>
      <c r="F3" s="11"/>
      <c r="G3" s="12"/>
      <c r="H3" s="237"/>
      <c r="I3" s="11"/>
      <c r="J3" s="13"/>
      <c r="K3" s="13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236"/>
      <c r="AP3" s="236"/>
      <c r="AQ3" s="236"/>
      <c r="AR3" s="236"/>
      <c r="AS3" s="236"/>
      <c r="AT3" s="236"/>
      <c r="AU3" s="236"/>
    </row>
    <row r="4" spans="1:47" x14ac:dyDescent="0.2">
      <c r="A4" s="13"/>
      <c r="B4" s="31"/>
      <c r="C4" s="32"/>
      <c r="D4" s="14"/>
      <c r="E4" s="14"/>
      <c r="F4" s="14"/>
      <c r="G4" s="15"/>
      <c r="H4" s="16"/>
      <c r="I4" s="213"/>
      <c r="K4" s="213"/>
      <c r="AP4" s="213"/>
      <c r="AQ4" s="213"/>
      <c r="AR4" s="213"/>
      <c r="AS4" s="213"/>
      <c r="AT4" s="213"/>
      <c r="AU4" s="213"/>
    </row>
    <row r="5" spans="1:47" ht="30" customHeight="1" x14ac:dyDescent="0.2">
      <c r="A5" s="553" t="s">
        <v>70</v>
      </c>
      <c r="B5" s="554"/>
      <c r="C5" s="238"/>
      <c r="D5" s="238"/>
      <c r="E5" s="238"/>
      <c r="F5" s="239"/>
      <c r="G5" s="213"/>
      <c r="M5" s="213"/>
      <c r="AP5" s="213"/>
      <c r="AQ5" s="213"/>
      <c r="AR5" s="213"/>
      <c r="AS5" s="213"/>
      <c r="AT5" s="213"/>
      <c r="AU5" s="213"/>
    </row>
    <row r="6" spans="1:47" x14ac:dyDescent="0.2">
      <c r="A6" s="33"/>
      <c r="B6" s="34"/>
      <c r="C6" s="238"/>
      <c r="D6" s="238"/>
      <c r="E6" s="238"/>
      <c r="F6" s="239"/>
      <c r="G6" s="213"/>
      <c r="M6" s="213"/>
      <c r="AP6" s="213"/>
      <c r="AQ6" s="213"/>
      <c r="AR6" s="213"/>
      <c r="AS6" s="213"/>
      <c r="AT6" s="213"/>
      <c r="AU6" s="213"/>
    </row>
    <row r="7" spans="1:47" s="212" customFormat="1" ht="36.75" customHeight="1" x14ac:dyDescent="0.2">
      <c r="A7" s="17"/>
      <c r="B7" s="23"/>
      <c r="C7" s="499" t="s">
        <v>71</v>
      </c>
      <c r="D7" s="500"/>
      <c r="E7" s="271"/>
      <c r="F7" s="234" t="s">
        <v>72</v>
      </c>
      <c r="G7" s="127"/>
      <c r="H7" s="234" t="s">
        <v>73</v>
      </c>
      <c r="I7" s="127"/>
      <c r="J7" s="235" t="s">
        <v>74</v>
      </c>
      <c r="K7" s="128">
        <f>(G7*I7)/60</f>
        <v>0</v>
      </c>
      <c r="L7" s="211"/>
      <c r="M7" s="5"/>
      <c r="N7" s="5"/>
      <c r="O7" s="5"/>
      <c r="P7" s="5"/>
      <c r="Q7" s="18"/>
      <c r="R7" s="18"/>
      <c r="S7" s="18"/>
      <c r="T7" s="18"/>
      <c r="U7" s="18"/>
      <c r="V7" s="18"/>
      <c r="W7" s="19"/>
      <c r="X7" s="19"/>
      <c r="Y7" s="18"/>
      <c r="Z7" s="21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</row>
    <row r="8" spans="1:47" hidden="1" x14ac:dyDescent="0.2">
      <c r="A8" s="13"/>
      <c r="B8" s="31"/>
      <c r="C8" s="32"/>
      <c r="D8" s="14"/>
      <c r="E8" s="279"/>
      <c r="F8" s="14"/>
      <c r="G8" s="15"/>
      <c r="H8" s="31"/>
      <c r="I8" s="15"/>
      <c r="J8" s="15"/>
      <c r="K8" s="129"/>
      <c r="L8" s="15"/>
      <c r="AP8" s="213"/>
      <c r="AQ8" s="213"/>
      <c r="AR8" s="213"/>
      <c r="AS8" s="213"/>
      <c r="AT8" s="213"/>
      <c r="AU8" s="213"/>
    </row>
    <row r="9" spans="1:47" s="212" customFormat="1" ht="15.75" x14ac:dyDescent="0.2">
      <c r="A9" s="17"/>
      <c r="B9" s="23"/>
      <c r="C9" s="32"/>
      <c r="D9" s="14"/>
      <c r="E9" s="279"/>
      <c r="F9" s="14"/>
      <c r="G9" s="14"/>
      <c r="L9" s="31"/>
      <c r="M9" s="31"/>
      <c r="N9" s="31"/>
      <c r="O9" s="211"/>
      <c r="P9" s="5"/>
      <c r="Q9" s="5"/>
      <c r="R9" s="5"/>
      <c r="S9" s="5"/>
      <c r="T9" s="18"/>
      <c r="U9" s="18"/>
      <c r="V9" s="18"/>
      <c r="W9" s="18"/>
      <c r="X9" s="18"/>
      <c r="Y9" s="18"/>
      <c r="Z9" s="19"/>
      <c r="AA9" s="19"/>
      <c r="AB9" s="18"/>
      <c r="AC9" s="21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</row>
    <row r="10" spans="1:47" s="212" customFormat="1" ht="24" customHeight="1" x14ac:dyDescent="0.2">
      <c r="A10" s="17"/>
      <c r="B10" s="23"/>
      <c r="C10" s="570" t="s">
        <v>202</v>
      </c>
      <c r="D10" s="571"/>
      <c r="E10" s="265"/>
      <c r="F10" s="35">
        <f>IF(E10="Oui",60%,49%)</f>
        <v>0.49</v>
      </c>
      <c r="G10" s="31"/>
      <c r="H10" s="211"/>
      <c r="I10" s="211"/>
      <c r="J10" s="224" t="s">
        <v>76</v>
      </c>
      <c r="K10" s="226">
        <f>IF($K$7=0,0,$E$7/$K$7)</f>
        <v>0</v>
      </c>
      <c r="L10" s="16"/>
      <c r="M10" s="31"/>
      <c r="N10" s="31"/>
      <c r="O10" s="211"/>
      <c r="P10" s="5"/>
      <c r="Q10" s="5"/>
      <c r="R10" s="5"/>
      <c r="S10" s="5"/>
      <c r="T10" s="18"/>
      <c r="U10" s="18"/>
      <c r="V10" s="18"/>
      <c r="W10" s="18"/>
      <c r="X10" s="18"/>
      <c r="Y10" s="18"/>
      <c r="Z10" s="19"/>
      <c r="AA10" s="19"/>
      <c r="AB10" s="18"/>
      <c r="AC10" s="21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</row>
    <row r="11" spans="1:47" s="212" customFormat="1" ht="30" hidden="1" customHeight="1" x14ac:dyDescent="0.2">
      <c r="A11" s="17"/>
      <c r="B11" s="17"/>
      <c r="C11"/>
      <c r="D11"/>
      <c r="E11" s="280"/>
      <c r="F11"/>
      <c r="G11"/>
      <c r="H11"/>
      <c r="L11" s="16"/>
      <c r="M11" s="31"/>
      <c r="N11" s="31"/>
      <c r="O11" s="211"/>
      <c r="P11" s="5"/>
      <c r="Q11" s="5"/>
      <c r="R11" s="5"/>
      <c r="S11" s="5"/>
      <c r="T11" s="18"/>
      <c r="U11" s="18"/>
      <c r="V11" s="18"/>
      <c r="W11" s="18"/>
      <c r="X11" s="18"/>
      <c r="Y11" s="18"/>
      <c r="Z11" s="19"/>
      <c r="AA11" s="19"/>
      <c r="AB11" s="18"/>
      <c r="AC11" s="21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</row>
    <row r="12" spans="1:47" ht="24.75" customHeight="1" x14ac:dyDescent="0.2">
      <c r="A12" s="29"/>
      <c r="B12" s="23"/>
      <c r="C12" s="572" t="s">
        <v>77</v>
      </c>
      <c r="D12" s="573"/>
      <c r="E12" s="466"/>
      <c r="G12" s="15"/>
      <c r="H12" s="213"/>
      <c r="I12" s="213"/>
      <c r="J12" s="213"/>
      <c r="K12" s="213"/>
      <c r="L12" s="14"/>
      <c r="M12" s="14"/>
      <c r="N12" s="15"/>
      <c r="AP12" s="5"/>
      <c r="AQ12" s="5"/>
      <c r="AR12" s="5"/>
      <c r="AS12" s="213"/>
      <c r="AT12" s="213"/>
      <c r="AU12" s="213"/>
    </row>
    <row r="13" spans="1:47" ht="31.9" customHeight="1" x14ac:dyDescent="0.2">
      <c r="A13" s="30"/>
      <c r="B13" s="23"/>
      <c r="C13" s="213"/>
      <c r="D13" s="213"/>
      <c r="E13" s="271"/>
      <c r="H13" s="213"/>
      <c r="I13" s="574" t="s">
        <v>78</v>
      </c>
      <c r="J13" s="575"/>
      <c r="K13" s="405" t="str">
        <f>IF(OR(K10=0,N(E$7=0)),"",IF(K10&gt;=400000,"Oui","Non"))</f>
        <v/>
      </c>
      <c r="L13" s="406" t="str">
        <f>IFERROR(IF(K13="Oui","S/O pour les productions d’animation",""),"")</f>
        <v/>
      </c>
      <c r="M13" s="15"/>
      <c r="N13" s="16"/>
      <c r="AP13" s="5"/>
      <c r="AQ13" s="5"/>
      <c r="AR13" s="5"/>
      <c r="AS13" s="5"/>
      <c r="AT13" s="5"/>
      <c r="AU13" s="5"/>
    </row>
    <row r="14" spans="1:47" hidden="1" x14ac:dyDescent="0.2">
      <c r="B14" s="5"/>
      <c r="G14" s="15"/>
      <c r="I14" s="6"/>
      <c r="K14" s="213"/>
      <c r="O14" s="26"/>
      <c r="AN14" s="213"/>
      <c r="AO14" s="213"/>
      <c r="AP14" s="213"/>
      <c r="AQ14" s="213"/>
      <c r="AR14" s="213"/>
      <c r="AS14" s="213"/>
      <c r="AT14" s="213"/>
      <c r="AU14" s="213"/>
    </row>
    <row r="15" spans="1:47" ht="31.5" customHeight="1" x14ac:dyDescent="0.2">
      <c r="A15" s="213"/>
      <c r="B15" s="491" t="s">
        <v>79</v>
      </c>
      <c r="C15" s="492"/>
      <c r="D15" s="493"/>
      <c r="E15" s="466"/>
      <c r="G15" s="213"/>
      <c r="I15" s="502" t="s">
        <v>209</v>
      </c>
      <c r="J15" s="503"/>
      <c r="K15" s="128" t="str">
        <f>IF(N(E$7)=0,"",IF(E$7&gt;500000,"Oui","Non"))</f>
        <v/>
      </c>
      <c r="L15" s="406" t="str">
        <f>IFERROR(IF(K15="Oui","S/O pour les productions tournées en direct",""),"")</f>
        <v/>
      </c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</row>
    <row r="16" spans="1:47" ht="24.95" customHeight="1" x14ac:dyDescent="0.2">
      <c r="A16" s="213"/>
      <c r="B16" s="491" t="s">
        <v>80</v>
      </c>
      <c r="C16" s="492"/>
      <c r="D16" s="493"/>
      <c r="E16" s="282">
        <f>C30-E17</f>
        <v>0</v>
      </c>
      <c r="G16" s="213"/>
      <c r="K16" s="26"/>
      <c r="N16" s="214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</row>
    <row r="17" spans="1:42" ht="24.95" customHeight="1" x14ac:dyDescent="0.2">
      <c r="A17" s="213"/>
      <c r="B17" s="491" t="s">
        <v>180</v>
      </c>
      <c r="C17" s="492"/>
      <c r="D17" s="493"/>
      <c r="E17" s="271"/>
      <c r="G17" s="213"/>
      <c r="K17" s="26"/>
      <c r="AJ17" s="213"/>
      <c r="AK17" s="213"/>
      <c r="AL17" s="213"/>
      <c r="AM17" s="213"/>
      <c r="AN17" s="213"/>
      <c r="AO17" s="213"/>
    </row>
    <row r="18" spans="1:42" ht="15" customHeight="1" x14ac:dyDescent="0.2">
      <c r="B18" s="229"/>
      <c r="C18" s="230"/>
      <c r="D18" s="231"/>
      <c r="E18" s="242"/>
      <c r="F18" s="243"/>
      <c r="G18" s="213"/>
      <c r="K18" s="26"/>
      <c r="AJ18" s="213"/>
      <c r="AK18" s="213"/>
      <c r="AL18" s="213"/>
      <c r="AM18" s="213"/>
      <c r="AN18" s="213"/>
      <c r="AO18" s="213"/>
    </row>
    <row r="19" spans="1:42" x14ac:dyDescent="0.2">
      <c r="B19" s="249"/>
      <c r="C19" s="249"/>
      <c r="D19" s="249"/>
      <c r="E19" s="249"/>
      <c r="F19" s="249"/>
      <c r="G19" s="213"/>
      <c r="K19" s="26"/>
      <c r="L19"/>
      <c r="AK19" s="213"/>
      <c r="AL19" s="213"/>
      <c r="AM19" s="213"/>
      <c r="AN19" s="213"/>
      <c r="AO19" s="213"/>
      <c r="AP19" s="213"/>
    </row>
    <row r="20" spans="1:42" x14ac:dyDescent="0.2">
      <c r="A20" s="248" t="s">
        <v>201</v>
      </c>
      <c r="B20" s="249"/>
      <c r="C20" s="249"/>
      <c r="D20" s="249"/>
      <c r="E20" s="249"/>
      <c r="F20" s="249"/>
      <c r="G20" s="213"/>
      <c r="K20" s="26"/>
      <c r="L20"/>
      <c r="AK20" s="213"/>
      <c r="AL20" s="213"/>
      <c r="AM20" s="213"/>
      <c r="AN20" s="213"/>
      <c r="AO20" s="213"/>
      <c r="AP20" s="213"/>
    </row>
    <row r="21" spans="1:42" x14ac:dyDescent="0.2">
      <c r="A21" s="285" t="s">
        <v>222</v>
      </c>
      <c r="B21" s="249"/>
      <c r="C21" s="249"/>
      <c r="D21" s="249"/>
      <c r="E21" s="249"/>
      <c r="F21" s="249"/>
      <c r="G21" s="232"/>
      <c r="H21" s="241"/>
      <c r="I21" s="487" t="s">
        <v>234</v>
      </c>
      <c r="J21" s="222"/>
      <c r="K21" s="223"/>
      <c r="L21" s="26"/>
      <c r="AK21" s="213"/>
      <c r="AL21" s="213"/>
      <c r="AM21" s="213"/>
      <c r="AN21" s="213"/>
      <c r="AO21" s="213"/>
      <c r="AP21" s="213"/>
    </row>
    <row r="22" spans="1:42" ht="60" customHeight="1" x14ac:dyDescent="0.2">
      <c r="A22" s="504" t="s">
        <v>238</v>
      </c>
      <c r="B22" s="505"/>
      <c r="C22" s="173" t="s">
        <v>211</v>
      </c>
      <c r="D22" s="454" t="s">
        <v>212</v>
      </c>
      <c r="E22" s="454" t="s">
        <v>213</v>
      </c>
      <c r="F22" s="174" t="s">
        <v>237</v>
      </c>
      <c r="G22" s="101" t="s">
        <v>206</v>
      </c>
      <c r="H22" s="103" t="s">
        <v>83</v>
      </c>
      <c r="I22" s="163" t="s">
        <v>207</v>
      </c>
      <c r="J22" s="163" t="s">
        <v>221</v>
      </c>
      <c r="K22" s="163" t="s">
        <v>84</v>
      </c>
      <c r="L22" s="26"/>
      <c r="AK22" s="213"/>
      <c r="AL22" s="213"/>
      <c r="AM22" s="213"/>
      <c r="AN22" s="213"/>
      <c r="AO22" s="213"/>
      <c r="AP22" s="213"/>
    </row>
    <row r="23" spans="1:42" s="215" customFormat="1" ht="18" customHeight="1" x14ac:dyDescent="0.2">
      <c r="A23" s="264"/>
      <c r="B23" s="250" t="s">
        <v>179</v>
      </c>
      <c r="C23" s="273">
        <f>E17</f>
        <v>0</v>
      </c>
      <c r="D23" s="451"/>
      <c r="E23" s="452"/>
      <c r="F23" s="452"/>
      <c r="G23" s="452"/>
      <c r="H23" s="452"/>
      <c r="I23" s="452"/>
      <c r="J23" s="452"/>
      <c r="K23" s="453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</row>
    <row r="24" spans="1:42" s="312" customFormat="1" ht="18" customHeight="1" x14ac:dyDescent="0.2">
      <c r="A24" s="287" t="s">
        <v>85</v>
      </c>
      <c r="B24" s="395"/>
      <c r="C24" s="396"/>
      <c r="D24" s="396"/>
      <c r="E24" s="397"/>
      <c r="F24" s="397"/>
      <c r="G24" s="398"/>
      <c r="H24" s="399">
        <f>DATE(YEAR(G24),(MONTH(G24)+I24),DAY(G24))</f>
        <v>0</v>
      </c>
      <c r="I24" s="400"/>
      <c r="J24" s="400"/>
      <c r="K24" s="400"/>
      <c r="L24" s="311"/>
      <c r="M24" s="311"/>
      <c r="N24" s="311"/>
      <c r="O24" s="311"/>
      <c r="P24" s="311"/>
      <c r="Q24" s="311"/>
      <c r="R24" s="311"/>
      <c r="S24" s="311"/>
      <c r="T24" s="311"/>
      <c r="U24" s="311"/>
      <c r="V24" s="311"/>
      <c r="W24" s="311"/>
      <c r="X24" s="311"/>
      <c r="Y24" s="311"/>
      <c r="Z24" s="311"/>
      <c r="AA24" s="311"/>
      <c r="AB24" s="311"/>
      <c r="AC24" s="311"/>
      <c r="AD24" s="311"/>
      <c r="AE24" s="311"/>
      <c r="AF24" s="311"/>
      <c r="AG24" s="311"/>
      <c r="AH24" s="311"/>
      <c r="AI24" s="311"/>
      <c r="AJ24" s="311"/>
      <c r="AK24" s="311"/>
      <c r="AL24" s="311"/>
      <c r="AM24" s="311"/>
    </row>
    <row r="25" spans="1:42" s="312" customFormat="1" ht="18" customHeight="1" x14ac:dyDescent="0.2">
      <c r="A25" s="287" t="s">
        <v>86</v>
      </c>
      <c r="B25" s="395"/>
      <c r="C25" s="396"/>
      <c r="D25" s="396"/>
      <c r="E25" s="401"/>
      <c r="F25" s="401"/>
      <c r="G25" s="398"/>
      <c r="H25" s="399">
        <f>DATE(YEAR(G25),(MONTH(G25)+I25),DAY(G25))</f>
        <v>0</v>
      </c>
      <c r="I25" s="400"/>
      <c r="J25" s="400"/>
      <c r="K25" s="400"/>
      <c r="L25" s="311"/>
      <c r="M25" s="311"/>
      <c r="N25" s="311"/>
      <c r="O25" s="311"/>
      <c r="P25" s="311"/>
      <c r="Q25" s="311"/>
      <c r="R25" s="311"/>
      <c r="S25" s="311"/>
      <c r="T25" s="311"/>
      <c r="U25" s="311"/>
      <c r="V25" s="311"/>
      <c r="W25" s="311"/>
      <c r="X25" s="311"/>
      <c r="Y25" s="311"/>
      <c r="Z25" s="311"/>
      <c r="AA25" s="311"/>
      <c r="AB25" s="311"/>
      <c r="AC25" s="311"/>
      <c r="AD25" s="311"/>
      <c r="AE25" s="311"/>
      <c r="AF25" s="311"/>
      <c r="AG25" s="311"/>
      <c r="AH25" s="311"/>
      <c r="AI25" s="311"/>
      <c r="AJ25" s="311"/>
      <c r="AK25" s="311"/>
      <c r="AL25" s="311"/>
      <c r="AM25" s="311"/>
    </row>
    <row r="26" spans="1:42" s="312" customFormat="1" ht="18" customHeight="1" x14ac:dyDescent="0.2">
      <c r="A26" s="287" t="s">
        <v>87</v>
      </c>
      <c r="B26" s="395"/>
      <c r="C26" s="396"/>
      <c r="D26" s="396"/>
      <c r="E26" s="401"/>
      <c r="F26" s="401"/>
      <c r="G26" s="398"/>
      <c r="H26" s="399">
        <f>DATE(YEAR(G26),(MONTH(G26)+I26),DAY(G26))</f>
        <v>0</v>
      </c>
      <c r="I26" s="400"/>
      <c r="J26" s="400"/>
      <c r="K26" s="402"/>
      <c r="L26" s="311"/>
      <c r="M26" s="311"/>
      <c r="N26" s="311"/>
      <c r="O26" s="311"/>
      <c r="P26" s="311"/>
      <c r="Q26" s="311"/>
      <c r="R26" s="311"/>
      <c r="S26" s="311"/>
      <c r="T26" s="311"/>
      <c r="U26" s="311"/>
      <c r="V26" s="311"/>
      <c r="W26" s="311"/>
      <c r="X26" s="311"/>
      <c r="Y26" s="311"/>
      <c r="Z26" s="311"/>
      <c r="AA26" s="311"/>
      <c r="AB26" s="311"/>
      <c r="AC26" s="311"/>
      <c r="AD26" s="311"/>
      <c r="AE26" s="311"/>
      <c r="AF26" s="311"/>
      <c r="AG26" s="311"/>
      <c r="AH26" s="311"/>
      <c r="AI26" s="311"/>
      <c r="AJ26" s="311"/>
      <c r="AK26" s="311"/>
      <c r="AL26" s="311"/>
      <c r="AM26" s="311"/>
    </row>
    <row r="27" spans="1:42" s="312" customFormat="1" ht="18" customHeight="1" x14ac:dyDescent="0.2">
      <c r="A27" s="287" t="s">
        <v>88</v>
      </c>
      <c r="B27" s="395"/>
      <c r="C27" s="396"/>
      <c r="D27" s="396"/>
      <c r="E27" s="401"/>
      <c r="F27" s="401"/>
      <c r="G27" s="398"/>
      <c r="H27" s="399">
        <f>DATE(YEAR(G27),(MONTH(G27)+I27),DAY(G27))</f>
        <v>0</v>
      </c>
      <c r="I27" s="400"/>
      <c r="J27" s="400"/>
      <c r="K27" s="400"/>
      <c r="L27" s="311"/>
      <c r="M27" s="311"/>
      <c r="N27" s="311"/>
      <c r="O27" s="311"/>
      <c r="P27" s="311"/>
      <c r="Q27" s="311"/>
      <c r="R27" s="311"/>
      <c r="S27" s="311"/>
      <c r="T27" s="311"/>
      <c r="U27" s="311"/>
      <c r="V27" s="311"/>
      <c r="W27" s="311"/>
      <c r="X27" s="311"/>
      <c r="Y27" s="311"/>
      <c r="Z27" s="311"/>
      <c r="AA27" s="311"/>
      <c r="AB27" s="311"/>
      <c r="AC27" s="311"/>
      <c r="AD27" s="311"/>
      <c r="AE27" s="311"/>
      <c r="AF27" s="311"/>
      <c r="AG27" s="311"/>
      <c r="AH27" s="311"/>
      <c r="AI27" s="311"/>
      <c r="AJ27" s="311"/>
      <c r="AK27" s="311"/>
      <c r="AL27" s="311"/>
      <c r="AM27" s="311"/>
    </row>
    <row r="28" spans="1:42" s="312" customFormat="1" ht="18" customHeight="1" x14ac:dyDescent="0.2">
      <c r="A28" s="287" t="s">
        <v>89</v>
      </c>
      <c r="B28" s="395"/>
      <c r="C28" s="396"/>
      <c r="D28" s="396"/>
      <c r="E28" s="401"/>
      <c r="F28" s="401"/>
      <c r="G28" s="398"/>
      <c r="H28" s="399">
        <f t="shared" ref="H28:H29" si="0">DATE(YEAR(G28),(MONTH(G28)+I28),DAY(G28))</f>
        <v>0</v>
      </c>
      <c r="I28" s="400"/>
      <c r="J28" s="400"/>
      <c r="K28" s="400"/>
      <c r="L28" s="311"/>
      <c r="M28" s="311"/>
      <c r="N28" s="311"/>
      <c r="O28" s="311"/>
      <c r="P28" s="311"/>
      <c r="Q28" s="311"/>
      <c r="R28" s="311"/>
      <c r="S28" s="311"/>
      <c r="T28" s="311"/>
      <c r="U28" s="311"/>
      <c r="V28" s="311"/>
      <c r="W28" s="311"/>
      <c r="X28" s="311"/>
      <c r="Y28" s="311"/>
      <c r="Z28" s="311"/>
      <c r="AA28" s="311"/>
      <c r="AB28" s="311"/>
      <c r="AC28" s="311"/>
      <c r="AD28" s="311"/>
      <c r="AE28" s="311"/>
      <c r="AF28" s="311"/>
      <c r="AG28" s="311"/>
      <c r="AH28" s="311"/>
      <c r="AI28" s="311"/>
      <c r="AJ28" s="311"/>
      <c r="AK28" s="311"/>
      <c r="AL28" s="311"/>
      <c r="AM28" s="311"/>
    </row>
    <row r="29" spans="1:42" s="312" customFormat="1" ht="18" customHeight="1" thickBot="1" x14ac:dyDescent="0.25">
      <c r="A29" s="287" t="s">
        <v>90</v>
      </c>
      <c r="B29" s="403"/>
      <c r="C29" s="404"/>
      <c r="D29" s="404"/>
      <c r="E29" s="460"/>
      <c r="F29" s="460"/>
      <c r="G29" s="398"/>
      <c r="H29" s="399">
        <f t="shared" si="0"/>
        <v>0</v>
      </c>
      <c r="I29" s="400"/>
      <c r="J29" s="400"/>
      <c r="K29" s="402"/>
      <c r="L29" s="311"/>
      <c r="M29" s="311"/>
      <c r="N29" s="311"/>
      <c r="O29" s="311"/>
      <c r="P29" s="311"/>
      <c r="Q29" s="311"/>
      <c r="R29" s="311"/>
      <c r="S29" s="311"/>
      <c r="T29" s="311"/>
      <c r="U29" s="311"/>
      <c r="V29" s="311"/>
      <c r="W29" s="311"/>
      <c r="X29" s="311"/>
      <c r="Y29" s="311"/>
      <c r="Z29" s="311"/>
      <c r="AA29" s="311"/>
      <c r="AB29" s="311"/>
      <c r="AC29" s="311"/>
      <c r="AD29" s="311"/>
      <c r="AE29" s="311"/>
      <c r="AF29" s="311"/>
      <c r="AG29" s="311"/>
      <c r="AH29" s="311"/>
      <c r="AI29" s="311"/>
      <c r="AJ29" s="311"/>
      <c r="AK29" s="311"/>
      <c r="AL29" s="311"/>
      <c r="AM29" s="311"/>
    </row>
    <row r="30" spans="1:42" s="68" customFormat="1" ht="16.5" thickBot="1" x14ac:dyDescent="0.25">
      <c r="A30" s="501" t="s">
        <v>91</v>
      </c>
      <c r="B30" s="501"/>
      <c r="C30" s="272">
        <f>SUM(C23:C29)</f>
        <v>0</v>
      </c>
      <c r="D30" s="461">
        <f>SUM(D24:D29)</f>
        <v>0</v>
      </c>
      <c r="E30" s="461">
        <f>SUM(E24:E29)</f>
        <v>0</v>
      </c>
      <c r="F30" s="272">
        <f>SUM(F24:F29)</f>
        <v>0</v>
      </c>
      <c r="G30" s="274"/>
      <c r="H30" s="274"/>
      <c r="I30" s="274"/>
      <c r="J30" s="274"/>
      <c r="K30" s="274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</row>
    <row r="31" spans="1:42" s="68" customFormat="1" ht="14.25" customHeight="1" x14ac:dyDescent="0.2">
      <c r="A31" s="43"/>
      <c r="B31" s="44"/>
      <c r="C31" s="275"/>
      <c r="D31" s="275"/>
      <c r="E31" s="275"/>
      <c r="F31" s="275"/>
      <c r="G31" s="276"/>
      <c r="H31" s="276"/>
      <c r="I31" s="277"/>
      <c r="J31" s="278"/>
      <c r="K31" s="48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</row>
    <row r="32" spans="1:42" s="68" customFormat="1" ht="21.75" customHeight="1" x14ac:dyDescent="0.2">
      <c r="A32" s="555" t="s">
        <v>92</v>
      </c>
      <c r="B32" s="557"/>
      <c r="C32" s="558"/>
      <c r="D32" s="558"/>
      <c r="E32" s="558"/>
      <c r="F32" s="558"/>
      <c r="G32" s="558"/>
      <c r="H32" s="558"/>
      <c r="I32" s="558"/>
      <c r="J32" s="558"/>
      <c r="K32" s="559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</row>
    <row r="33" spans="1:43" s="68" customFormat="1" ht="21.75" customHeight="1" x14ac:dyDescent="0.2">
      <c r="A33" s="556"/>
      <c r="B33" s="560"/>
      <c r="C33" s="561"/>
      <c r="D33" s="561"/>
      <c r="E33" s="561"/>
      <c r="F33" s="561"/>
      <c r="G33" s="561"/>
      <c r="H33" s="561"/>
      <c r="I33" s="561"/>
      <c r="J33" s="561"/>
      <c r="K33" s="562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</row>
    <row r="34" spans="1:43" s="68" customFormat="1" ht="15.75" customHeight="1" x14ac:dyDescent="0.2">
      <c r="A34" s="233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</row>
    <row r="35" spans="1:43" s="312" customFormat="1" ht="18.600000000000001" customHeight="1" x14ac:dyDescent="0.2">
      <c r="A35" s="383" t="s">
        <v>204</v>
      </c>
      <c r="B35" s="384"/>
      <c r="C35" s="385"/>
      <c r="D35" s="386"/>
      <c r="E35" s="386"/>
      <c r="F35" s="386"/>
      <c r="G35" s="474"/>
      <c r="H35" s="547" t="s">
        <v>219</v>
      </c>
      <c r="I35" s="548"/>
      <c r="J35" s="387"/>
      <c r="K35" s="375"/>
      <c r="L35" s="311"/>
      <c r="M35" s="311"/>
      <c r="N35" s="311"/>
      <c r="O35" s="311"/>
      <c r="P35" s="311"/>
      <c r="Q35" s="311"/>
      <c r="R35" s="311"/>
      <c r="S35" s="311"/>
      <c r="T35" s="311"/>
      <c r="U35" s="311"/>
      <c r="V35" s="311"/>
      <c r="W35" s="311"/>
      <c r="X35" s="311"/>
      <c r="Y35" s="311"/>
      <c r="Z35" s="311"/>
      <c r="AA35" s="311"/>
      <c r="AB35" s="311"/>
      <c r="AC35" s="311"/>
      <c r="AD35" s="311"/>
      <c r="AE35" s="311"/>
      <c r="AF35" s="311"/>
      <c r="AG35" s="311"/>
      <c r="AH35" s="311"/>
      <c r="AI35" s="311"/>
      <c r="AJ35" s="311"/>
      <c r="AK35" s="311"/>
      <c r="AL35" s="311"/>
      <c r="AM35" s="311"/>
      <c r="AN35" s="311"/>
    </row>
    <row r="36" spans="1:43" s="390" customFormat="1" ht="60" customHeight="1" x14ac:dyDescent="0.2">
      <c r="A36" s="504" t="s">
        <v>235</v>
      </c>
      <c r="B36" s="505"/>
      <c r="C36" s="288" t="s">
        <v>93</v>
      </c>
      <c r="D36" s="288" t="s">
        <v>223</v>
      </c>
      <c r="E36" s="289" t="s">
        <v>94</v>
      </c>
      <c r="F36" s="289" t="s">
        <v>95</v>
      </c>
      <c r="G36" s="290" t="s">
        <v>228</v>
      </c>
      <c r="H36" s="414" t="s">
        <v>226</v>
      </c>
      <c r="I36" s="414" t="s">
        <v>236</v>
      </c>
      <c r="J36" s="290" t="s">
        <v>227</v>
      </c>
      <c r="K36" s="414" t="s">
        <v>97</v>
      </c>
      <c r="L36" s="414" t="s">
        <v>214</v>
      </c>
      <c r="N36" s="350"/>
      <c r="O36" s="350"/>
      <c r="P36" s="350"/>
      <c r="Q36" s="350"/>
      <c r="R36" s="350"/>
      <c r="S36" s="350"/>
      <c r="T36" s="350"/>
      <c r="U36" s="350"/>
      <c r="V36" s="350"/>
      <c r="W36" s="388" t="s">
        <v>28</v>
      </c>
      <c r="X36" s="388" t="s">
        <v>29</v>
      </c>
      <c r="Y36" s="389" t="s">
        <v>30</v>
      </c>
      <c r="Z36" s="350"/>
      <c r="AA36" s="350"/>
      <c r="AB36" s="350"/>
      <c r="AC36" s="350"/>
      <c r="AD36" s="350"/>
      <c r="AE36" s="350"/>
      <c r="AF36" s="350"/>
      <c r="AG36" s="350"/>
      <c r="AH36" s="350"/>
      <c r="AI36" s="350"/>
      <c r="AJ36" s="350"/>
      <c r="AK36" s="350"/>
      <c r="AL36" s="350"/>
      <c r="AM36" s="350"/>
      <c r="AN36" s="350"/>
      <c r="AO36" s="350"/>
      <c r="AP36" s="350"/>
      <c r="AQ36" s="350"/>
    </row>
    <row r="37" spans="1:43" s="312" customFormat="1" ht="15.75" x14ac:dyDescent="0.2">
      <c r="A37" s="291"/>
      <c r="B37" s="292" t="s">
        <v>179</v>
      </c>
      <c r="C37" s="293">
        <f>IF($E$44-(E$7*20%)&lt;100000,E37,IF((E$7*20%)&lt;MIN(E17,G80:G81),ROUND(E$7*20%,0),MIN(E17,G80:G81)))</f>
        <v>0</v>
      </c>
      <c r="D37" s="293">
        <f t="shared" ref="D37:D44" si="1">E37-C37</f>
        <v>0</v>
      </c>
      <c r="E37" s="293">
        <f>IF(MAX(G$80:G$81)&lt;E17,MAX(G$80:G$81),E17)</f>
        <v>0</v>
      </c>
      <c r="F37" s="418" t="str">
        <f t="shared" ref="F37:F43" si="2">IF($E$7=0,"",(C37+D37)/$E$7)</f>
        <v/>
      </c>
      <c r="G37" s="455"/>
      <c r="H37" s="455"/>
      <c r="I37" s="455"/>
      <c r="J37" s="456"/>
      <c r="K37" s="457"/>
      <c r="L37" s="458"/>
      <c r="M37" s="459"/>
      <c r="N37" s="311"/>
      <c r="O37" s="311"/>
      <c r="P37" s="311"/>
      <c r="Q37" s="311"/>
      <c r="R37" s="311"/>
      <c r="S37" s="311"/>
      <c r="T37" s="311"/>
      <c r="U37" s="311"/>
      <c r="V37" s="311"/>
      <c r="W37" s="391"/>
      <c r="X37" s="391"/>
      <c r="Y37" s="391"/>
      <c r="Z37" s="311"/>
      <c r="AA37" s="311"/>
      <c r="AB37" s="311"/>
      <c r="AC37" s="311"/>
      <c r="AD37" s="311"/>
      <c r="AE37" s="311"/>
      <c r="AF37" s="311"/>
      <c r="AG37" s="311"/>
      <c r="AH37" s="311"/>
      <c r="AI37" s="311"/>
      <c r="AJ37" s="311"/>
      <c r="AK37" s="311"/>
      <c r="AL37" s="311"/>
      <c r="AM37" s="311"/>
      <c r="AN37" s="311"/>
      <c r="AO37" s="311"/>
      <c r="AP37" s="311"/>
      <c r="AQ37" s="311"/>
    </row>
    <row r="38" spans="1:43" s="312" customFormat="1" ht="15.75" x14ac:dyDescent="0.2">
      <c r="A38" s="297" t="s">
        <v>85</v>
      </c>
      <c r="B38" s="298">
        <f>$B$24</f>
        <v>0</v>
      </c>
      <c r="C38" s="293">
        <f>IF(($C$44-$C$37)&gt;0,ROUND((E38/($E$44-$E$37)*($C$44-$C$37)),0),0)</f>
        <v>0</v>
      </c>
      <c r="D38" s="293">
        <f>E38-C38</f>
        <v>0</v>
      </c>
      <c r="E38" s="293">
        <f t="shared" ref="E38:E43" si="3">IF($E$16&gt;0,ROUND(C24/($C$30-$C$23)*($E$44-$E$37),0),0)</f>
        <v>0</v>
      </c>
      <c r="F38" s="418" t="str">
        <f>IF($E$7=0,"",(C38+D38)/$E$7)</f>
        <v/>
      </c>
      <c r="G38" s="294">
        <f>$H$50</f>
        <v>0</v>
      </c>
      <c r="H38" s="294" t="s">
        <v>146</v>
      </c>
      <c r="I38" s="294" t="s">
        <v>146</v>
      </c>
      <c r="J38" s="418" t="str">
        <f>IF($E$7=0,"",(G38+N(H38)+N(I38))/$E$7)</f>
        <v/>
      </c>
      <c r="K38" s="476"/>
      <c r="L38" s="294">
        <f>MAX(D24+E24+F24-G38-N(H38)-N(I38),0)</f>
        <v>0</v>
      </c>
      <c r="M38" s="459"/>
      <c r="N38" s="311"/>
      <c r="O38" s="311"/>
      <c r="P38" s="311"/>
      <c r="Q38" s="311"/>
      <c r="R38" s="311"/>
      <c r="S38" s="311"/>
      <c r="T38" s="311"/>
      <c r="U38" s="311"/>
      <c r="V38" s="311"/>
      <c r="W38" s="391">
        <f>IF(I24&lt;72,I24,72)</f>
        <v>0</v>
      </c>
      <c r="X38" s="391">
        <f t="shared" ref="X38:X43" si="4">J24</f>
        <v>0</v>
      </c>
      <c r="Y38" s="391" t="s">
        <v>32</v>
      </c>
      <c r="Z38" s="311"/>
      <c r="AA38" s="311"/>
      <c r="AB38" s="311"/>
      <c r="AC38" s="311"/>
      <c r="AD38" s="311"/>
      <c r="AE38" s="311"/>
      <c r="AF38" s="311"/>
      <c r="AG38" s="311"/>
      <c r="AH38" s="311"/>
      <c r="AI38" s="311"/>
      <c r="AJ38" s="311"/>
      <c r="AK38" s="311"/>
      <c r="AL38" s="311"/>
      <c r="AM38" s="311"/>
      <c r="AN38" s="311"/>
      <c r="AO38" s="311"/>
      <c r="AP38" s="311"/>
      <c r="AQ38" s="311"/>
    </row>
    <row r="39" spans="1:43" s="312" customFormat="1" ht="15.75" x14ac:dyDescent="0.2">
      <c r="A39" s="301" t="s">
        <v>86</v>
      </c>
      <c r="B39" s="298">
        <f>$B$25</f>
        <v>0</v>
      </c>
      <c r="C39" s="293">
        <f t="shared" ref="C39:C43" si="5">IF(($C$44-$C$37)&gt;0,ROUND((E39/($E$44-$E$37)*($C$44-$C$37)),0),0)</f>
        <v>0</v>
      </c>
      <c r="D39" s="293">
        <f t="shared" si="1"/>
        <v>0</v>
      </c>
      <c r="E39" s="293">
        <f t="shared" si="3"/>
        <v>0</v>
      </c>
      <c r="F39" s="418" t="str">
        <f t="shared" si="2"/>
        <v/>
      </c>
      <c r="G39" s="299">
        <f>$H$52</f>
        <v>0</v>
      </c>
      <c r="H39" s="475" t="str">
        <f t="shared" ref="H39:H43" si="6">IF(AND(E25=0,E$30&gt;=H$44),"",ROUND((E25*H$44/E$30),0))</f>
        <v/>
      </c>
      <c r="I39" s="475" t="str">
        <f>IF(F$30=0,"",ROUND((F25*I$44/F$30),0))</f>
        <v/>
      </c>
      <c r="J39" s="418" t="str">
        <f>IF($E$7=0,"",(G39+N(H39)+N(I39))/$E$7)</f>
        <v/>
      </c>
      <c r="K39" s="477"/>
      <c r="L39" s="294">
        <f>MAX(D25+E25+F25-G39-N(H39)-N(I39),0)</f>
        <v>0</v>
      </c>
      <c r="N39" s="311"/>
      <c r="O39" s="311"/>
      <c r="P39" s="311"/>
      <c r="Q39" s="311"/>
      <c r="R39" s="311"/>
      <c r="S39" s="311"/>
      <c r="T39" s="311"/>
      <c r="U39" s="311"/>
      <c r="V39" s="311"/>
      <c r="W39" s="392">
        <f>IF(I25=0,0,IF(I25&lt;F52,I25,$F$52))</f>
        <v>0</v>
      </c>
      <c r="X39" s="391">
        <f t="shared" si="4"/>
        <v>0</v>
      </c>
      <c r="Y39" s="393">
        <f>IF(G25&gt;DATE(YEAR(G$24),MONTH(G$24)+X38,DAY(G$24)),G25,DATE(YEAR(G$24),MONTH(G$24)+X38,DAY(G$24)))</f>
        <v>0</v>
      </c>
      <c r="Z39" s="311"/>
      <c r="AA39" s="311"/>
      <c r="AB39" s="311"/>
      <c r="AC39" s="311"/>
      <c r="AD39" s="311"/>
      <c r="AE39" s="311"/>
      <c r="AF39" s="311"/>
      <c r="AG39" s="311"/>
      <c r="AH39" s="311"/>
      <c r="AI39" s="311"/>
      <c r="AJ39" s="311"/>
      <c r="AK39" s="311"/>
      <c r="AL39" s="311"/>
      <c r="AM39" s="311"/>
      <c r="AN39" s="311"/>
      <c r="AO39" s="311"/>
      <c r="AP39" s="311"/>
      <c r="AQ39" s="311"/>
    </row>
    <row r="40" spans="1:43" s="312" customFormat="1" ht="15.75" x14ac:dyDescent="0.2">
      <c r="A40" s="301" t="s">
        <v>87</v>
      </c>
      <c r="B40" s="298">
        <f>$B$26</f>
        <v>0</v>
      </c>
      <c r="C40" s="293">
        <f t="shared" si="5"/>
        <v>0</v>
      </c>
      <c r="D40" s="293">
        <f t="shared" si="1"/>
        <v>0</v>
      </c>
      <c r="E40" s="293">
        <f t="shared" si="3"/>
        <v>0</v>
      </c>
      <c r="F40" s="418" t="str">
        <f t="shared" si="2"/>
        <v/>
      </c>
      <c r="G40" s="299">
        <f>$H$54</f>
        <v>0</v>
      </c>
      <c r="H40" s="475" t="str">
        <f t="shared" si="6"/>
        <v/>
      </c>
      <c r="I40" s="475" t="str">
        <f>IF(F$30=0,"",ROUND((F26*I$44/F$30),0))</f>
        <v/>
      </c>
      <c r="J40" s="418" t="str">
        <f t="shared" ref="J40:J43" si="7">IF($E$7=0,"",(G40+N(H40)+N(I40))/$E$7)</f>
        <v/>
      </c>
      <c r="K40" s="477"/>
      <c r="L40" s="294">
        <f t="shared" ref="L40:L43" si="8">MAX(D26+E26+F26-G40-N(H40)-N(I40),0)</f>
        <v>0</v>
      </c>
      <c r="N40" s="311"/>
      <c r="O40" s="311"/>
      <c r="P40" s="311"/>
      <c r="Q40" s="311"/>
      <c r="R40" s="311"/>
      <c r="S40" s="311"/>
      <c r="T40" s="311"/>
      <c r="U40" s="311"/>
      <c r="V40" s="311"/>
      <c r="W40" s="392">
        <f>IF(I26=0,0,IF(I26&lt;F54,I26,$F$54))</f>
        <v>0</v>
      </c>
      <c r="X40" s="391">
        <f t="shared" si="4"/>
        <v>0</v>
      </c>
      <c r="Y40" s="393">
        <f>IF(G26&gt;DATE(YEAR(G$24),MONTH(G$24)+X38+X39,DAY(G$24)),G26,DATE(YEAR(G$24),MONTH(G$24)+X38+X$39,DAY(G$24)))</f>
        <v>0</v>
      </c>
      <c r="Z40" s="311"/>
      <c r="AA40" s="311"/>
      <c r="AB40" s="311"/>
      <c r="AC40" s="311"/>
      <c r="AD40" s="311"/>
      <c r="AE40" s="311"/>
      <c r="AF40" s="311"/>
      <c r="AG40" s="311"/>
      <c r="AH40" s="311"/>
      <c r="AI40" s="311"/>
      <c r="AJ40" s="311"/>
      <c r="AK40" s="311"/>
      <c r="AL40" s="311"/>
      <c r="AM40" s="311"/>
      <c r="AN40" s="311"/>
      <c r="AO40" s="311"/>
      <c r="AP40" s="311"/>
      <c r="AQ40" s="311"/>
    </row>
    <row r="41" spans="1:43" s="312" customFormat="1" ht="15.75" customHeight="1" x14ac:dyDescent="0.2">
      <c r="A41" s="301" t="s">
        <v>88</v>
      </c>
      <c r="B41" s="298">
        <f>$B$27</f>
        <v>0</v>
      </c>
      <c r="C41" s="293">
        <f t="shared" si="5"/>
        <v>0</v>
      </c>
      <c r="D41" s="293">
        <f t="shared" si="1"/>
        <v>0</v>
      </c>
      <c r="E41" s="293">
        <f t="shared" si="3"/>
        <v>0</v>
      </c>
      <c r="F41" s="418" t="str">
        <f t="shared" si="2"/>
        <v/>
      </c>
      <c r="G41" s="299">
        <f>$H$56</f>
        <v>0</v>
      </c>
      <c r="H41" s="475" t="str">
        <f t="shared" si="6"/>
        <v/>
      </c>
      <c r="I41" s="475" t="str">
        <f>IF(F$30=0,"",ROUND((F27*I$44/F$30),0))</f>
        <v/>
      </c>
      <c r="J41" s="418" t="str">
        <f t="shared" si="7"/>
        <v/>
      </c>
      <c r="K41" s="477"/>
      <c r="L41" s="294">
        <f t="shared" si="8"/>
        <v>0</v>
      </c>
      <c r="N41" s="311"/>
      <c r="O41" s="311"/>
      <c r="P41" s="311"/>
      <c r="Q41" s="311"/>
      <c r="R41" s="311"/>
      <c r="S41" s="311"/>
      <c r="T41" s="311"/>
      <c r="U41" s="311"/>
      <c r="V41" s="311"/>
      <c r="W41" s="392">
        <f>IF(I27=0,0,IF(I27&lt;F56,I27,$F$56))</f>
        <v>0</v>
      </c>
      <c r="X41" s="391">
        <f t="shared" si="4"/>
        <v>0</v>
      </c>
      <c r="Y41" s="393">
        <f>IF(G27&gt;DATE(YEAR(G$24),MONTH(G$24)+X$38+X$39+X40,DAY(G$24)),G27,DATE(YEAR(G$24),MONTH(G$24)+X$38+X$39+X40,DAY(G$24)))</f>
        <v>0</v>
      </c>
      <c r="Z41" s="311"/>
      <c r="AA41" s="311"/>
      <c r="AB41" s="311"/>
      <c r="AC41" s="311"/>
      <c r="AD41" s="311"/>
      <c r="AE41" s="311"/>
      <c r="AF41" s="311"/>
      <c r="AG41" s="311"/>
      <c r="AH41" s="311"/>
      <c r="AI41" s="311"/>
      <c r="AJ41" s="311"/>
      <c r="AK41" s="311"/>
      <c r="AL41" s="311"/>
      <c r="AM41" s="311"/>
      <c r="AN41" s="311"/>
      <c r="AO41" s="311"/>
      <c r="AP41" s="311"/>
      <c r="AQ41" s="311"/>
    </row>
    <row r="42" spans="1:43" s="312" customFormat="1" ht="15.75" x14ac:dyDescent="0.2">
      <c r="A42" s="301" t="s">
        <v>89</v>
      </c>
      <c r="B42" s="298">
        <f>$B$28</f>
        <v>0</v>
      </c>
      <c r="C42" s="293">
        <f t="shared" si="5"/>
        <v>0</v>
      </c>
      <c r="D42" s="293">
        <f t="shared" si="1"/>
        <v>0</v>
      </c>
      <c r="E42" s="293">
        <f t="shared" si="3"/>
        <v>0</v>
      </c>
      <c r="F42" s="418" t="str">
        <f t="shared" si="2"/>
        <v/>
      </c>
      <c r="G42" s="299">
        <f>$H$58</f>
        <v>0</v>
      </c>
      <c r="H42" s="475" t="str">
        <f t="shared" si="6"/>
        <v/>
      </c>
      <c r="I42" s="475" t="str">
        <f>IF(F$30=0,"",ROUND((F28*I$44/F$30),0))</f>
        <v/>
      </c>
      <c r="J42" s="418" t="str">
        <f t="shared" si="7"/>
        <v/>
      </c>
      <c r="K42" s="477"/>
      <c r="L42" s="294">
        <f t="shared" si="8"/>
        <v>0</v>
      </c>
      <c r="N42" s="311"/>
      <c r="O42" s="311"/>
      <c r="P42" s="311"/>
      <c r="Q42" s="311"/>
      <c r="R42" s="311"/>
      <c r="S42" s="311"/>
      <c r="T42" s="311"/>
      <c r="U42" s="311"/>
      <c r="V42" s="311"/>
      <c r="W42" s="392">
        <f>IF(I28=0,0,IF(I28&lt;F58,I28,$F$58))</f>
        <v>0</v>
      </c>
      <c r="X42" s="391">
        <f t="shared" si="4"/>
        <v>0</v>
      </c>
      <c r="Y42" s="393">
        <f>IF(G28&gt;DATE(YEAR(G$24),MONTH(G$24)+X$38+X$39+X40+X41,DAY(G$24)),G28,DATE(YEAR(G$24),MONTH(G$24)+X$38+X$39+X40+X41,DAY(G$24)))</f>
        <v>0</v>
      </c>
      <c r="Z42" s="311"/>
      <c r="AA42" s="311"/>
      <c r="AB42" s="311"/>
      <c r="AC42" s="311"/>
      <c r="AD42" s="311"/>
      <c r="AE42" s="311"/>
      <c r="AF42" s="311"/>
      <c r="AG42" s="311"/>
      <c r="AH42" s="311"/>
      <c r="AI42" s="311"/>
      <c r="AJ42" s="311"/>
      <c r="AK42" s="311"/>
      <c r="AL42" s="311"/>
      <c r="AM42" s="311"/>
      <c r="AN42" s="311"/>
      <c r="AO42" s="311"/>
      <c r="AP42" s="311"/>
      <c r="AQ42" s="311"/>
    </row>
    <row r="43" spans="1:43" s="312" customFormat="1" ht="16.5" thickBot="1" x14ac:dyDescent="0.25">
      <c r="A43" s="287" t="s">
        <v>90</v>
      </c>
      <c r="B43" s="302">
        <f>$B$29</f>
        <v>0</v>
      </c>
      <c r="C43" s="293">
        <f t="shared" si="5"/>
        <v>0</v>
      </c>
      <c r="D43" s="303">
        <f t="shared" si="1"/>
        <v>0</v>
      </c>
      <c r="E43" s="293">
        <f t="shared" si="3"/>
        <v>0</v>
      </c>
      <c r="F43" s="449" t="str">
        <f t="shared" si="2"/>
        <v/>
      </c>
      <c r="G43" s="304">
        <f>$H$60</f>
        <v>0</v>
      </c>
      <c r="H43" s="475" t="str">
        <f t="shared" si="6"/>
        <v/>
      </c>
      <c r="I43" s="475" t="str">
        <f>IF(F$30=0,"",ROUND((F29*I$44/F$30),0))</f>
        <v/>
      </c>
      <c r="J43" s="418" t="str">
        <f t="shared" si="7"/>
        <v/>
      </c>
      <c r="K43" s="477"/>
      <c r="L43" s="294">
        <f t="shared" si="8"/>
        <v>0</v>
      </c>
      <c r="N43" s="311"/>
      <c r="O43" s="311"/>
      <c r="P43" s="311"/>
      <c r="Q43" s="311"/>
      <c r="R43" s="311"/>
      <c r="S43" s="311"/>
      <c r="T43" s="311"/>
      <c r="U43" s="311"/>
      <c r="V43" s="311"/>
      <c r="W43" s="392">
        <f>IF(I29=0,0,IF(I29&lt;F60,I29,$F$60))</f>
        <v>0</v>
      </c>
      <c r="X43" s="391">
        <f t="shared" si="4"/>
        <v>0</v>
      </c>
      <c r="Y43" s="393">
        <f>IF(G29&gt;DATE(YEAR(G$24),MONTH(G$24)+X$38+X$39+X40+X41+X42,DAY(G$24)),G29,DATE(YEAR(G$24),MONTH(G$24)+X$38+X$39+X40+X41+X42,DAY(G$24)))</f>
        <v>0</v>
      </c>
      <c r="Z43" s="311"/>
      <c r="AA43" s="311"/>
      <c r="AB43" s="311"/>
      <c r="AC43" s="311"/>
      <c r="AD43" s="311"/>
      <c r="AE43" s="311"/>
      <c r="AF43" s="311"/>
      <c r="AG43" s="311"/>
      <c r="AH43" s="311"/>
      <c r="AI43" s="311"/>
      <c r="AJ43" s="311"/>
      <c r="AK43" s="311"/>
      <c r="AL43" s="311"/>
      <c r="AM43" s="311"/>
      <c r="AN43" s="311"/>
      <c r="AO43" s="311"/>
      <c r="AP43" s="311"/>
      <c r="AQ43" s="311"/>
    </row>
    <row r="44" spans="1:43" s="394" customFormat="1" ht="21.95" customHeight="1" thickBot="1" x14ac:dyDescent="0.25">
      <c r="A44" s="305"/>
      <c r="B44" s="306" t="s">
        <v>190</v>
      </c>
      <c r="C44" s="307">
        <f>IF(E44-(E7*20%)&lt;100000,E44,IF((E$7*20%)&lt;E44,ROUND(E$7*20%,0),E44))</f>
        <v>0</v>
      </c>
      <c r="D44" s="307">
        <f t="shared" si="1"/>
        <v>0</v>
      </c>
      <c r="E44" s="307">
        <f>IF(MAX(D$80:D$81)&lt;C30+IF(E$12="Oui",E13,0),
MIN(MAX(D$80:D$81)-E37-C45,E16)+E37,
MIN(MAX(J80:J81),E16)+E37)</f>
        <v>0</v>
      </c>
      <c r="F44" s="424">
        <f>SUM(F37:F43)</f>
        <v>0</v>
      </c>
      <c r="G44" s="308">
        <f>SUM(G38:G43)</f>
        <v>0</v>
      </c>
      <c r="H44" s="308">
        <f>MIN(E30,G66:G67)</f>
        <v>0</v>
      </c>
      <c r="I44" s="308">
        <f>MIN(F$30,SUM(H66:H67))</f>
        <v>0</v>
      </c>
      <c r="J44" s="424">
        <f>SUM(J38:J43)</f>
        <v>0</v>
      </c>
      <c r="K44" s="308">
        <f>G44+H44+I44</f>
        <v>0</v>
      </c>
      <c r="L44" s="308">
        <f>SUM(L38:L43)</f>
        <v>0</v>
      </c>
      <c r="N44" s="262"/>
      <c r="O44" s="262"/>
      <c r="P44" s="262"/>
      <c r="Q44" s="262"/>
      <c r="R44" s="262"/>
      <c r="S44" s="262"/>
      <c r="T44" s="262"/>
      <c r="U44" s="262"/>
      <c r="V44" s="262"/>
      <c r="W44" s="262"/>
      <c r="X44" s="262"/>
      <c r="Y44" s="262"/>
      <c r="Z44" s="262"/>
      <c r="AA44" s="262"/>
      <c r="AB44" s="262"/>
      <c r="AC44" s="262"/>
      <c r="AD44" s="262"/>
      <c r="AE44" s="262"/>
      <c r="AF44" s="262"/>
      <c r="AG44" s="262"/>
      <c r="AH44" s="262"/>
      <c r="AI44" s="262"/>
      <c r="AJ44" s="262"/>
      <c r="AK44" s="262"/>
      <c r="AL44" s="262"/>
      <c r="AM44" s="262"/>
      <c r="AN44" s="262"/>
      <c r="AO44" s="262"/>
    </row>
    <row r="45" spans="1:43" s="312" customFormat="1" ht="37.15" customHeight="1" thickBot="1" x14ac:dyDescent="0.25">
      <c r="A45" s="568" t="str">
        <f>IF(AND($E$12="Oui",I$64=2),K66,IF(AND($E$12="Oui",I$64=3),K67,"Mesures incitatives"))</f>
        <v>Mesures incitatives</v>
      </c>
      <c r="B45" s="569"/>
      <c r="C45" s="309">
        <f>IF(E12="Oui",MIN(E$13,MAX(M80:M81)),0)</f>
        <v>0</v>
      </c>
      <c r="D45" s="309">
        <v>0</v>
      </c>
      <c r="E45" s="310">
        <f>SUM(C45:D45)</f>
        <v>0</v>
      </c>
      <c r="F45" s="450">
        <f>IF(E7=0,0,E45/E7)</f>
        <v>0</v>
      </c>
      <c r="G45" s="311"/>
      <c r="H45" s="311"/>
      <c r="I45" s="311"/>
      <c r="J45" s="311"/>
      <c r="K45" s="311"/>
      <c r="L45" s="262"/>
      <c r="M45" s="262"/>
      <c r="N45" s="311"/>
      <c r="O45" s="311"/>
      <c r="P45" s="311"/>
      <c r="Q45" s="311"/>
      <c r="R45" s="311"/>
      <c r="S45" s="311"/>
      <c r="T45" s="311"/>
      <c r="U45" s="311"/>
      <c r="V45" s="311"/>
      <c r="W45" s="311"/>
      <c r="X45" s="311"/>
      <c r="Y45" s="311"/>
      <c r="Z45" s="311"/>
      <c r="AA45" s="311"/>
      <c r="AB45" s="311"/>
      <c r="AC45" s="311"/>
      <c r="AD45" s="311"/>
      <c r="AE45" s="311"/>
      <c r="AF45" s="311"/>
      <c r="AG45" s="311"/>
      <c r="AH45" s="311"/>
      <c r="AI45" s="311"/>
      <c r="AJ45" s="311"/>
      <c r="AK45" s="311"/>
      <c r="AL45" s="311"/>
      <c r="AM45" s="311"/>
    </row>
    <row r="46" spans="1:43" s="312" customFormat="1" ht="21.95" customHeight="1" thickBot="1" x14ac:dyDescent="0.25">
      <c r="B46" s="313" t="s">
        <v>191</v>
      </c>
      <c r="C46" s="307">
        <f>SUM(C44:C45)</f>
        <v>0</v>
      </c>
      <c r="D46" s="307">
        <f>SUM(D44:D45)</f>
        <v>0</v>
      </c>
      <c r="E46" s="307">
        <f>SUM(E44:E45)</f>
        <v>0</v>
      </c>
      <c r="F46" s="424">
        <f>SUM(F44:F45)</f>
        <v>0</v>
      </c>
      <c r="G46" s="314"/>
      <c r="H46" s="315"/>
      <c r="I46" s="315"/>
      <c r="J46" s="51"/>
      <c r="K46" s="315"/>
      <c r="L46" s="311"/>
      <c r="M46" s="311"/>
      <c r="N46" s="311"/>
      <c r="O46" s="311"/>
      <c r="P46" s="311"/>
      <c r="Q46" s="311"/>
      <c r="R46" s="311"/>
      <c r="S46" s="311"/>
      <c r="T46" s="311"/>
      <c r="U46" s="311"/>
      <c r="V46" s="311"/>
      <c r="W46" s="311"/>
      <c r="X46" s="311"/>
      <c r="Y46" s="311"/>
      <c r="Z46" s="311"/>
      <c r="AA46" s="311"/>
      <c r="AB46" s="311"/>
      <c r="AC46" s="311"/>
      <c r="AD46" s="311"/>
      <c r="AE46" s="311"/>
      <c r="AF46" s="311"/>
      <c r="AG46" s="311"/>
      <c r="AH46" s="311"/>
      <c r="AI46" s="311"/>
      <c r="AJ46" s="311"/>
      <c r="AK46" s="311"/>
      <c r="AL46" s="311"/>
      <c r="AM46" s="311"/>
      <c r="AN46" s="311"/>
      <c r="AO46" s="311"/>
    </row>
    <row r="47" spans="1:43" s="68" customFormat="1" ht="15" customHeight="1" x14ac:dyDescent="0.2">
      <c r="A47" s="251" t="s">
        <v>239</v>
      </c>
      <c r="B47" s="221"/>
      <c r="C47" s="221"/>
      <c r="D47" s="221"/>
      <c r="J47" s="51"/>
      <c r="L47" s="57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</row>
    <row r="48" spans="1:43" s="68" customFormat="1" ht="15" customHeight="1" x14ac:dyDescent="0.2">
      <c r="B48" s="252"/>
      <c r="C48" s="252"/>
      <c r="D48" s="252"/>
      <c r="E48" s="252"/>
      <c r="F48" s="252"/>
      <c r="G48" s="252"/>
      <c r="H48" s="252"/>
      <c r="I48" s="252"/>
      <c r="J48" s="252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</row>
    <row r="49" spans="1:43" s="68" customFormat="1" ht="18.75" customHeight="1" x14ac:dyDescent="0.2">
      <c r="A49" s="227" t="s">
        <v>99</v>
      </c>
      <c r="B49" s="53"/>
      <c r="C49" s="169"/>
      <c r="I49" s="51"/>
      <c r="J49" s="51"/>
      <c r="K49" s="56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</row>
    <row r="50" spans="1:43" s="374" customFormat="1" ht="21.95" customHeight="1" x14ac:dyDescent="0.2">
      <c r="A50" s="316" t="s">
        <v>16</v>
      </c>
      <c r="B50" s="320">
        <f>D$24</f>
        <v>0</v>
      </c>
      <c r="C50" s="318" t="s">
        <v>34</v>
      </c>
      <c r="D50" s="319">
        <f>$I$24</f>
        <v>0</v>
      </c>
      <c r="E50" s="318" t="s">
        <v>35</v>
      </c>
      <c r="F50" s="319">
        <v>72</v>
      </c>
      <c r="G50" s="318" t="s">
        <v>36</v>
      </c>
      <c r="H50" s="320">
        <f>IF(I24&lt;72,B50,(B50/D50)*F50)</f>
        <v>0</v>
      </c>
      <c r="I50" s="566" t="s">
        <v>100</v>
      </c>
      <c r="J50" s="567"/>
      <c r="K50" s="321">
        <f>DATE(YEAR(G24),MONTH(G24)+72,DAY(G24))</f>
        <v>2192</v>
      </c>
      <c r="L50" s="311"/>
      <c r="M50" s="311"/>
      <c r="N50" s="311"/>
      <c r="O50" s="311"/>
      <c r="P50" s="311"/>
      <c r="Q50" s="311"/>
      <c r="R50" s="311"/>
      <c r="S50" s="311"/>
      <c r="T50" s="311"/>
      <c r="U50" s="311"/>
      <c r="V50" s="311"/>
      <c r="W50" s="311"/>
      <c r="X50" s="311"/>
      <c r="Y50" s="311"/>
      <c r="Z50" s="311"/>
      <c r="AA50" s="311"/>
      <c r="AB50" s="311"/>
      <c r="AC50" s="311"/>
      <c r="AD50" s="311"/>
      <c r="AE50" s="311"/>
      <c r="AF50" s="311"/>
      <c r="AG50" s="311"/>
      <c r="AH50" s="311"/>
      <c r="AI50" s="311"/>
      <c r="AJ50" s="311"/>
      <c r="AK50" s="311"/>
      <c r="AL50" s="311"/>
      <c r="AM50" s="311"/>
      <c r="AN50" s="311"/>
      <c r="AO50" s="311"/>
    </row>
    <row r="51" spans="1:43" s="312" customFormat="1" ht="25.5" x14ac:dyDescent="0.2">
      <c r="A51" s="322"/>
      <c r="B51" s="323" t="s">
        <v>101</v>
      </c>
      <c r="C51" s="324"/>
      <c r="D51" s="324" t="s">
        <v>102</v>
      </c>
      <c r="E51" s="325"/>
      <c r="F51" s="324" t="s">
        <v>103</v>
      </c>
      <c r="G51" s="325"/>
      <c r="H51" s="326" t="s">
        <v>104</v>
      </c>
      <c r="I51" s="305"/>
      <c r="J51" s="305"/>
      <c r="K51" s="327"/>
      <c r="L51" s="311"/>
      <c r="M51" s="311"/>
      <c r="N51" s="311"/>
      <c r="O51" s="311"/>
      <c r="P51" s="311"/>
      <c r="Q51" s="311"/>
      <c r="R51" s="311"/>
      <c r="S51" s="311"/>
      <c r="T51" s="311"/>
      <c r="U51" s="311"/>
      <c r="V51" s="311"/>
      <c r="W51" s="311"/>
      <c r="X51" s="311"/>
      <c r="Y51" s="311"/>
      <c r="Z51" s="311"/>
      <c r="AA51" s="311"/>
      <c r="AB51" s="311"/>
      <c r="AC51" s="311"/>
      <c r="AD51" s="311"/>
      <c r="AE51" s="311"/>
      <c r="AF51" s="311"/>
      <c r="AG51" s="311"/>
      <c r="AH51" s="311"/>
      <c r="AI51" s="311"/>
      <c r="AJ51" s="311"/>
      <c r="AK51" s="311"/>
      <c r="AL51" s="311"/>
      <c r="AM51" s="311"/>
      <c r="AN51" s="311"/>
      <c r="AO51" s="311"/>
    </row>
    <row r="52" spans="1:43" s="312" customFormat="1" ht="21.95" customHeight="1" x14ac:dyDescent="0.2">
      <c r="A52" s="301" t="s">
        <v>17</v>
      </c>
      <c r="B52" s="320">
        <f>$D$25</f>
        <v>0</v>
      </c>
      <c r="C52" s="318" t="s">
        <v>34</v>
      </c>
      <c r="D52" s="319">
        <f>$I$25</f>
        <v>0</v>
      </c>
      <c r="E52" s="318" t="s">
        <v>35</v>
      </c>
      <c r="F52" s="328">
        <f>IF((YEAR(K$50)-YEAR(Y39))*12+MONTH(K$50)-MONTH(Y39)&lt;0,0,(YEAR(K$50)-YEAR(Y39))*12+MONTH(K$50)-MONTH(Y39))</f>
        <v>71</v>
      </c>
      <c r="G52" s="318" t="s">
        <v>36</v>
      </c>
      <c r="H52" s="320">
        <f>IF(D25=0,0,IF(D52&lt;F52,B52,(B52/D52)*F52))</f>
        <v>0</v>
      </c>
      <c r="I52" s="329"/>
      <c r="J52" s="329"/>
      <c r="K52" s="330"/>
      <c r="L52" s="311"/>
      <c r="M52" s="311"/>
      <c r="N52" s="311"/>
      <c r="O52" s="311"/>
      <c r="P52" s="311"/>
      <c r="Q52" s="311"/>
      <c r="R52" s="311"/>
      <c r="S52" s="311"/>
      <c r="T52" s="311"/>
      <c r="U52" s="311"/>
      <c r="V52" s="311"/>
      <c r="W52" s="311"/>
      <c r="X52" s="311"/>
      <c r="Y52" s="311"/>
      <c r="Z52" s="311"/>
      <c r="AA52" s="311"/>
      <c r="AB52" s="311"/>
      <c r="AC52" s="311"/>
      <c r="AD52" s="311"/>
      <c r="AE52" s="311"/>
      <c r="AF52" s="311"/>
      <c r="AG52" s="311"/>
      <c r="AH52" s="311"/>
      <c r="AI52" s="311"/>
      <c r="AJ52" s="311"/>
      <c r="AK52" s="311"/>
      <c r="AL52" s="311"/>
      <c r="AM52" s="311"/>
      <c r="AN52" s="311"/>
      <c r="AO52" s="311"/>
    </row>
    <row r="53" spans="1:43" s="312" customFormat="1" ht="25.5" x14ac:dyDescent="0.2">
      <c r="A53" s="322"/>
      <c r="B53" s="323" t="s">
        <v>101</v>
      </c>
      <c r="C53" s="324"/>
      <c r="D53" s="324" t="s">
        <v>102</v>
      </c>
      <c r="E53" s="325"/>
      <c r="F53" s="324" t="s">
        <v>103</v>
      </c>
      <c r="G53" s="325"/>
      <c r="H53" s="326" t="s">
        <v>104</v>
      </c>
      <c r="I53" s="305"/>
      <c r="J53" s="305"/>
      <c r="K53" s="327"/>
      <c r="L53" s="311"/>
      <c r="M53" s="311"/>
      <c r="N53" s="311"/>
      <c r="O53" s="311"/>
      <c r="P53" s="311"/>
      <c r="Q53" s="311"/>
      <c r="R53" s="311"/>
      <c r="S53" s="311"/>
      <c r="T53" s="311"/>
      <c r="U53" s="311"/>
      <c r="V53" s="311"/>
      <c r="W53" s="311"/>
      <c r="X53" s="311"/>
      <c r="Y53" s="311"/>
      <c r="Z53" s="311"/>
      <c r="AA53" s="311"/>
      <c r="AB53" s="311"/>
      <c r="AC53" s="311"/>
      <c r="AD53" s="311"/>
      <c r="AE53" s="311"/>
      <c r="AF53" s="311"/>
      <c r="AG53" s="311"/>
      <c r="AH53" s="311"/>
      <c r="AI53" s="311"/>
      <c r="AJ53" s="311"/>
      <c r="AK53" s="311"/>
      <c r="AL53" s="311"/>
      <c r="AM53" s="311"/>
      <c r="AN53" s="311"/>
      <c r="AO53" s="311"/>
    </row>
    <row r="54" spans="1:43" s="312" customFormat="1" ht="21.95" customHeight="1" x14ac:dyDescent="0.2">
      <c r="A54" s="301" t="s">
        <v>18</v>
      </c>
      <c r="B54" s="320">
        <f>$D$26</f>
        <v>0</v>
      </c>
      <c r="C54" s="318" t="s">
        <v>34</v>
      </c>
      <c r="D54" s="319">
        <f>$I$26</f>
        <v>0</v>
      </c>
      <c r="E54" s="318" t="s">
        <v>35</v>
      </c>
      <c r="F54" s="328">
        <f>IF((YEAR(K$50)-YEAR(Y40))*12+MONTH(K$50)-MONTH(Y40)&lt;0,0,(YEAR(K$50)-YEAR(Y40))*12+MONTH(K$50)-MONTH(Y40))</f>
        <v>71</v>
      </c>
      <c r="G54" s="318" t="s">
        <v>36</v>
      </c>
      <c r="H54" s="320">
        <f>IF(D26=0,0,IF(D54&lt;F54,B54,(B54/D54)*F54))</f>
        <v>0</v>
      </c>
      <c r="I54" s="329"/>
      <c r="J54" s="329"/>
      <c r="K54" s="330"/>
      <c r="L54" s="311"/>
      <c r="M54" s="311"/>
      <c r="N54" s="311"/>
      <c r="O54" s="311"/>
      <c r="P54" s="311"/>
      <c r="Q54" s="311"/>
      <c r="R54" s="311"/>
      <c r="S54" s="311"/>
      <c r="T54" s="311"/>
      <c r="U54" s="311"/>
      <c r="V54" s="311"/>
      <c r="W54" s="311"/>
      <c r="X54" s="311"/>
      <c r="Y54" s="311"/>
      <c r="Z54" s="311"/>
      <c r="AA54" s="311"/>
      <c r="AB54" s="311"/>
      <c r="AC54" s="311"/>
      <c r="AD54" s="311"/>
      <c r="AE54" s="311"/>
      <c r="AF54" s="311"/>
      <c r="AG54" s="311"/>
      <c r="AH54" s="311"/>
      <c r="AI54" s="311"/>
      <c r="AJ54" s="311"/>
      <c r="AK54" s="311"/>
      <c r="AL54" s="311"/>
      <c r="AM54" s="311"/>
      <c r="AN54" s="311"/>
      <c r="AO54" s="311"/>
    </row>
    <row r="55" spans="1:43" s="312" customFormat="1" ht="25.5" x14ac:dyDescent="0.2">
      <c r="A55" s="322"/>
      <c r="B55" s="323" t="s">
        <v>101</v>
      </c>
      <c r="C55" s="324"/>
      <c r="D55" s="324" t="s">
        <v>102</v>
      </c>
      <c r="E55" s="325"/>
      <c r="F55" s="324" t="s">
        <v>103</v>
      </c>
      <c r="G55" s="325"/>
      <c r="H55" s="326" t="s">
        <v>104</v>
      </c>
      <c r="I55" s="305"/>
      <c r="J55" s="305"/>
      <c r="K55" s="327"/>
      <c r="L55" s="311"/>
      <c r="M55" s="311"/>
      <c r="N55" s="311"/>
      <c r="O55" s="311"/>
      <c r="P55" s="311"/>
      <c r="Q55" s="311"/>
      <c r="R55" s="311"/>
      <c r="S55" s="311"/>
      <c r="T55" s="311"/>
      <c r="U55" s="311"/>
      <c r="V55" s="311"/>
      <c r="W55" s="311"/>
      <c r="X55" s="311"/>
      <c r="Y55" s="311"/>
      <c r="Z55" s="311"/>
      <c r="AA55" s="311"/>
      <c r="AB55" s="311"/>
      <c r="AC55" s="311"/>
      <c r="AD55" s="311"/>
      <c r="AE55" s="311"/>
      <c r="AF55" s="311"/>
      <c r="AG55" s="311"/>
      <c r="AH55" s="311"/>
      <c r="AI55" s="311"/>
      <c r="AJ55" s="311"/>
      <c r="AK55" s="311"/>
      <c r="AL55" s="311"/>
      <c r="AM55" s="311"/>
      <c r="AN55" s="311"/>
      <c r="AO55" s="311"/>
    </row>
    <row r="56" spans="1:43" s="312" customFormat="1" ht="21.95" customHeight="1" x14ac:dyDescent="0.2">
      <c r="A56" s="301" t="s">
        <v>19</v>
      </c>
      <c r="B56" s="320">
        <f>$D$27</f>
        <v>0</v>
      </c>
      <c r="C56" s="318" t="s">
        <v>34</v>
      </c>
      <c r="D56" s="328">
        <f>$I$27</f>
        <v>0</v>
      </c>
      <c r="E56" s="318" t="s">
        <v>35</v>
      </c>
      <c r="F56" s="328">
        <f>IF((YEAR(K$50)-YEAR(Y41))*12+MONTH(K$50)-MONTH(Y41)&lt;0,0,(YEAR(K$50)-YEAR(Y41))*12+MONTH(K$50)-MONTH(Y41))</f>
        <v>71</v>
      </c>
      <c r="G56" s="318" t="s">
        <v>36</v>
      </c>
      <c r="H56" s="320">
        <f>IF(D27=0,0,IF(D56&lt;F56,B56,(B56/D56)*F56))</f>
        <v>0</v>
      </c>
      <c r="I56" s="329"/>
      <c r="J56" s="329"/>
      <c r="K56" s="330"/>
      <c r="L56" s="311"/>
      <c r="M56" s="311"/>
      <c r="N56" s="311"/>
      <c r="O56" s="311"/>
      <c r="P56" s="311"/>
      <c r="Q56" s="311"/>
      <c r="R56" s="311"/>
      <c r="S56" s="311"/>
      <c r="T56" s="311"/>
      <c r="U56" s="311"/>
      <c r="V56" s="311"/>
      <c r="W56" s="311"/>
      <c r="X56" s="311"/>
      <c r="Y56" s="311"/>
      <c r="Z56" s="311"/>
      <c r="AA56" s="311"/>
      <c r="AB56" s="311"/>
      <c r="AC56" s="311"/>
      <c r="AD56" s="311"/>
      <c r="AE56" s="311"/>
      <c r="AF56" s="311"/>
      <c r="AG56" s="311"/>
      <c r="AH56" s="311"/>
      <c r="AI56" s="311"/>
      <c r="AJ56" s="311"/>
      <c r="AK56" s="311"/>
      <c r="AL56" s="311"/>
      <c r="AM56" s="311"/>
      <c r="AN56" s="311"/>
      <c r="AO56" s="311"/>
    </row>
    <row r="57" spans="1:43" s="312" customFormat="1" ht="25.5" x14ac:dyDescent="0.2">
      <c r="A57" s="322"/>
      <c r="B57" s="323" t="s">
        <v>101</v>
      </c>
      <c r="C57" s="324"/>
      <c r="D57" s="324" t="s">
        <v>102</v>
      </c>
      <c r="E57" s="325"/>
      <c r="F57" s="324" t="s">
        <v>103</v>
      </c>
      <c r="G57" s="325"/>
      <c r="H57" s="326" t="s">
        <v>104</v>
      </c>
      <c r="I57" s="305"/>
      <c r="J57" s="305"/>
      <c r="K57" s="327"/>
      <c r="L57" s="311"/>
      <c r="M57" s="311"/>
      <c r="N57" s="311"/>
      <c r="O57" s="311"/>
      <c r="P57" s="311"/>
      <c r="Q57" s="311"/>
      <c r="R57" s="311"/>
      <c r="S57" s="311"/>
      <c r="T57" s="311"/>
      <c r="U57" s="311"/>
      <c r="V57" s="311"/>
      <c r="W57" s="311"/>
      <c r="X57" s="311"/>
      <c r="Y57" s="311"/>
      <c r="Z57" s="311"/>
      <c r="AA57" s="311"/>
      <c r="AB57" s="311"/>
      <c r="AC57" s="311"/>
      <c r="AD57" s="311"/>
      <c r="AE57" s="311"/>
      <c r="AF57" s="311"/>
      <c r="AG57" s="311"/>
      <c r="AH57" s="311"/>
      <c r="AI57" s="311"/>
      <c r="AJ57" s="311"/>
      <c r="AK57" s="311"/>
      <c r="AL57" s="311"/>
      <c r="AM57" s="311"/>
      <c r="AN57" s="311"/>
      <c r="AO57" s="311"/>
    </row>
    <row r="58" spans="1:43" s="312" customFormat="1" ht="21.95" customHeight="1" x14ac:dyDescent="0.2">
      <c r="A58" s="301" t="s">
        <v>20</v>
      </c>
      <c r="B58" s="320">
        <f>$D$28</f>
        <v>0</v>
      </c>
      <c r="C58" s="318" t="s">
        <v>34</v>
      </c>
      <c r="D58" s="328">
        <f>$I$28</f>
        <v>0</v>
      </c>
      <c r="E58" s="318" t="s">
        <v>35</v>
      </c>
      <c r="F58" s="328">
        <f>IF((YEAR(K$50)-YEAR(Y42))*12+MONTH(K$50)-MONTH(Y42)&lt;0,0,(YEAR(K$50)-YEAR(Y42))*12+MONTH(K$50)-MONTH(Y42))</f>
        <v>71</v>
      </c>
      <c r="G58" s="318" t="s">
        <v>36</v>
      </c>
      <c r="H58" s="320">
        <f>IF(D28=0,0,IF(D58&lt;F58,B58,(B58/D58)*F58))</f>
        <v>0</v>
      </c>
      <c r="I58" s="329"/>
      <c r="J58" s="329"/>
      <c r="K58" s="330"/>
      <c r="L58" s="311"/>
      <c r="M58" s="311"/>
      <c r="N58" s="311"/>
      <c r="O58" s="311"/>
      <c r="P58" s="311"/>
      <c r="Q58" s="311"/>
      <c r="R58" s="311"/>
      <c r="S58" s="311"/>
      <c r="T58" s="311"/>
      <c r="U58" s="311"/>
      <c r="V58" s="311"/>
      <c r="W58" s="311"/>
      <c r="X58" s="311"/>
      <c r="Y58" s="311"/>
      <c r="Z58" s="311"/>
      <c r="AA58" s="311"/>
      <c r="AB58" s="311"/>
      <c r="AC58" s="311"/>
      <c r="AD58" s="311"/>
      <c r="AE58" s="311"/>
      <c r="AF58" s="311"/>
      <c r="AG58" s="311"/>
      <c r="AH58" s="311"/>
      <c r="AI58" s="311"/>
      <c r="AJ58" s="311"/>
      <c r="AK58" s="311"/>
      <c r="AL58" s="311"/>
      <c r="AM58" s="311"/>
      <c r="AN58" s="311"/>
      <c r="AO58" s="311"/>
    </row>
    <row r="59" spans="1:43" s="312" customFormat="1" ht="25.5" x14ac:dyDescent="0.2">
      <c r="A59" s="322"/>
      <c r="B59" s="323" t="s">
        <v>101</v>
      </c>
      <c r="C59" s="324"/>
      <c r="D59" s="324" t="s">
        <v>102</v>
      </c>
      <c r="E59" s="325"/>
      <c r="F59" s="324" t="s">
        <v>103</v>
      </c>
      <c r="G59" s="325"/>
      <c r="H59" s="326" t="s">
        <v>104</v>
      </c>
      <c r="I59" s="305"/>
      <c r="J59" s="305"/>
      <c r="K59" s="327"/>
      <c r="L59" s="311"/>
      <c r="M59" s="311"/>
      <c r="N59" s="311"/>
      <c r="O59" s="311"/>
      <c r="P59" s="311"/>
      <c r="Q59" s="311"/>
      <c r="R59" s="311"/>
      <c r="S59" s="311"/>
      <c r="T59" s="311"/>
      <c r="U59" s="311"/>
      <c r="V59" s="311"/>
      <c r="W59" s="311"/>
      <c r="X59" s="311"/>
      <c r="Y59" s="311"/>
      <c r="Z59" s="311"/>
      <c r="AA59" s="311"/>
      <c r="AB59" s="311"/>
      <c r="AC59" s="311"/>
      <c r="AD59" s="311"/>
      <c r="AE59" s="311"/>
      <c r="AF59" s="311"/>
      <c r="AG59" s="311"/>
      <c r="AH59" s="311"/>
      <c r="AI59" s="311"/>
      <c r="AJ59" s="311"/>
      <c r="AK59" s="311"/>
      <c r="AL59" s="311"/>
      <c r="AM59" s="311"/>
      <c r="AN59" s="311"/>
      <c r="AO59" s="311"/>
    </row>
    <row r="60" spans="1:43" s="312" customFormat="1" ht="21.95" customHeight="1" x14ac:dyDescent="0.2">
      <c r="A60" s="301" t="s">
        <v>21</v>
      </c>
      <c r="B60" s="320">
        <f>$D$29</f>
        <v>0</v>
      </c>
      <c r="C60" s="318" t="s">
        <v>34</v>
      </c>
      <c r="D60" s="328">
        <f>$I$29</f>
        <v>0</v>
      </c>
      <c r="E60" s="318" t="s">
        <v>35</v>
      </c>
      <c r="F60" s="328">
        <f>IF((YEAR(K$50)-YEAR(Y43))*12+MONTH(K$50)-MONTH(Y43)&lt;0,0,(YEAR(K$50)-YEAR(Y43))*12+MONTH(K$50)-MONTH(Y43))</f>
        <v>71</v>
      </c>
      <c r="G60" s="318" t="s">
        <v>36</v>
      </c>
      <c r="H60" s="320">
        <f>IF(D29=0,0,IF(D60&lt;F60,B60,(B60/D60)*F60))</f>
        <v>0</v>
      </c>
      <c r="I60" s="329"/>
      <c r="J60" s="329"/>
      <c r="K60" s="330"/>
      <c r="L60" s="311"/>
      <c r="M60" s="311"/>
      <c r="N60" s="311"/>
      <c r="O60" s="311"/>
      <c r="P60" s="311"/>
      <c r="Q60" s="311"/>
      <c r="R60" s="311"/>
      <c r="S60" s="311"/>
      <c r="T60" s="311"/>
      <c r="U60" s="311"/>
      <c r="V60" s="311"/>
      <c r="W60" s="311"/>
      <c r="X60" s="311"/>
      <c r="Y60" s="311"/>
      <c r="Z60" s="311"/>
      <c r="AA60" s="311"/>
      <c r="AB60" s="311"/>
      <c r="AC60" s="311"/>
      <c r="AD60" s="311"/>
      <c r="AE60" s="311"/>
      <c r="AF60" s="311"/>
      <c r="AG60" s="311"/>
      <c r="AH60" s="311"/>
      <c r="AI60" s="311"/>
      <c r="AJ60" s="311"/>
      <c r="AK60" s="311"/>
      <c r="AL60" s="311"/>
      <c r="AM60" s="311"/>
      <c r="AN60" s="311"/>
      <c r="AO60" s="311"/>
    </row>
    <row r="61" spans="1:43" s="312" customFormat="1" ht="25.5" x14ac:dyDescent="0.2">
      <c r="A61" s="331"/>
      <c r="B61" s="332" t="s">
        <v>101</v>
      </c>
      <c r="C61" s="333"/>
      <c r="D61" s="333" t="s">
        <v>102</v>
      </c>
      <c r="E61" s="334"/>
      <c r="F61" s="333" t="s">
        <v>103</v>
      </c>
      <c r="G61" s="334"/>
      <c r="H61" s="332" t="s">
        <v>104</v>
      </c>
      <c r="I61" s="329"/>
      <c r="J61" s="329"/>
      <c r="K61" s="330"/>
      <c r="L61" s="311"/>
      <c r="M61" s="311"/>
      <c r="N61" s="311"/>
      <c r="O61" s="311"/>
      <c r="P61" s="311"/>
      <c r="Q61" s="311"/>
      <c r="R61" s="311"/>
      <c r="S61" s="311"/>
      <c r="T61" s="311"/>
      <c r="U61" s="311"/>
      <c r="V61" s="311"/>
      <c r="W61" s="311"/>
      <c r="X61" s="311"/>
      <c r="Y61" s="311"/>
      <c r="Z61" s="311"/>
      <c r="AA61" s="311"/>
      <c r="AB61" s="311"/>
      <c r="AC61" s="311"/>
      <c r="AD61" s="311"/>
      <c r="AE61" s="311"/>
      <c r="AF61" s="311"/>
      <c r="AG61" s="311"/>
      <c r="AH61" s="311"/>
      <c r="AI61" s="311"/>
      <c r="AJ61" s="311"/>
      <c r="AK61" s="311"/>
      <c r="AL61" s="311"/>
      <c r="AM61" s="311"/>
      <c r="AN61" s="311"/>
      <c r="AO61" s="311"/>
    </row>
    <row r="62" spans="1:43" s="68" customFormat="1" ht="15.75" x14ac:dyDescent="0.2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</row>
    <row r="63" spans="1:43" s="312" customFormat="1" ht="33" customHeight="1" x14ac:dyDescent="0.2">
      <c r="A63" s="563" t="s">
        <v>186</v>
      </c>
      <c r="B63" s="564"/>
      <c r="C63" s="565"/>
      <c r="D63"/>
      <c r="E63"/>
      <c r="F63"/>
      <c r="G63" s="551" t="s">
        <v>225</v>
      </c>
      <c r="H63" s="552"/>
      <c r="I63"/>
      <c r="J63"/>
      <c r="K63"/>
      <c r="L63"/>
      <c r="M63"/>
      <c r="N63" s="311"/>
      <c r="O63" s="311"/>
      <c r="P63" s="311"/>
      <c r="Q63" s="311"/>
      <c r="R63" s="311"/>
      <c r="S63" s="311"/>
      <c r="T63" s="311"/>
      <c r="U63" s="311"/>
      <c r="V63" s="311"/>
      <c r="W63" s="311"/>
      <c r="X63" s="311"/>
      <c r="Y63" s="311"/>
      <c r="Z63" s="311"/>
      <c r="AA63" s="311"/>
      <c r="AB63" s="311"/>
      <c r="AC63" s="311"/>
      <c r="AD63" s="311"/>
      <c r="AE63" s="311"/>
      <c r="AF63" s="311"/>
      <c r="AG63" s="311"/>
      <c r="AH63" s="311"/>
      <c r="AI63" s="311"/>
      <c r="AJ63" s="311"/>
      <c r="AK63" s="311"/>
    </row>
    <row r="64" spans="1:43" s="312" customFormat="1" ht="72.599999999999994" customHeight="1" x14ac:dyDescent="0.2">
      <c r="A64" s="488">
        <v>1</v>
      </c>
      <c r="B64" s="288" t="s">
        <v>105</v>
      </c>
      <c r="C64" s="335" t="s">
        <v>106</v>
      </c>
      <c r="D64" s="335" t="s">
        <v>107</v>
      </c>
      <c r="E64" s="336" t="s">
        <v>108</v>
      </c>
      <c r="F64" s="337" t="s">
        <v>150</v>
      </c>
      <c r="G64" s="338" t="s">
        <v>220</v>
      </c>
      <c r="H64" s="338" t="s">
        <v>237</v>
      </c>
      <c r="I64" s="488">
        <v>1</v>
      </c>
      <c r="J64" s="480"/>
      <c r="K64" s="480"/>
      <c r="L64" s="480"/>
      <c r="M64" s="480"/>
      <c r="N64" s="311"/>
      <c r="O64" s="311"/>
      <c r="P64" s="311"/>
      <c r="Q64" s="311"/>
      <c r="R64" s="311"/>
      <c r="S64" s="311"/>
      <c r="T64" s="311"/>
      <c r="U64" s="311"/>
      <c r="V64" s="311"/>
      <c r="W64" s="311"/>
      <c r="X64" s="311"/>
      <c r="Y64" s="311"/>
      <c r="Z64" s="311"/>
      <c r="AA64" s="311"/>
      <c r="AB64" s="311"/>
      <c r="AC64" s="311"/>
      <c r="AD64" s="311"/>
      <c r="AE64" s="311"/>
      <c r="AF64" s="311"/>
      <c r="AG64" s="311"/>
      <c r="AH64" s="311"/>
      <c r="AI64" s="311"/>
      <c r="AJ64" s="311"/>
      <c r="AK64" s="311"/>
      <c r="AL64" s="311"/>
      <c r="AM64" s="311"/>
      <c r="AN64" s="311"/>
      <c r="AO64" s="311"/>
      <c r="AP64" s="311"/>
      <c r="AQ64" s="311"/>
    </row>
    <row r="65" spans="1:49" s="312" customFormat="1" ht="15.75" x14ac:dyDescent="0.2">
      <c r="A65" s="62"/>
      <c r="B65" s="339"/>
      <c r="C65" s="340"/>
      <c r="D65" s="340"/>
      <c r="E65" s="340"/>
      <c r="F65" s="340"/>
      <c r="G65" s="340"/>
      <c r="H65" s="340"/>
      <c r="I65" s="480"/>
      <c r="J65" s="480"/>
      <c r="K65" s="485"/>
      <c r="L65" s="480"/>
      <c r="M65" s="485"/>
      <c r="N65" s="311"/>
      <c r="O65" s="311"/>
      <c r="P65" s="311"/>
      <c r="Q65" s="311"/>
      <c r="R65" s="311"/>
      <c r="S65" s="311"/>
      <c r="T65" s="311"/>
      <c r="U65" s="311"/>
      <c r="V65" s="311"/>
      <c r="W65" s="311"/>
      <c r="X65" s="311"/>
      <c r="Y65" s="311"/>
      <c r="Z65" s="311"/>
      <c r="AA65" s="311"/>
      <c r="AB65" s="311"/>
      <c r="AC65" s="311"/>
      <c r="AD65" s="311"/>
      <c r="AE65" s="311"/>
      <c r="AF65" s="311"/>
      <c r="AG65" s="311"/>
      <c r="AH65" s="311"/>
      <c r="AI65" s="311"/>
      <c r="AJ65" s="311"/>
      <c r="AK65" s="311"/>
      <c r="AL65" s="311"/>
      <c r="AM65" s="311"/>
      <c r="AN65" s="311"/>
      <c r="AO65" s="311"/>
      <c r="AP65" s="311"/>
      <c r="AQ65" s="311"/>
    </row>
    <row r="66" spans="1:49" s="312" customFormat="1" ht="72.599999999999994" customHeight="1" x14ac:dyDescent="0.2">
      <c r="A66" s="62"/>
      <c r="B66" s="341" t="s">
        <v>183</v>
      </c>
      <c r="C66" s="342" t="s">
        <v>184</v>
      </c>
      <c r="D66" s="343" t="str">
        <f>IF(A$64=2,IF($E$7*10%&gt;=60000,60000,ROUND($E$7*10%,0)),"S/O")</f>
        <v>S/O</v>
      </c>
      <c r="E66" s="295" t="str">
        <f>IF(D66="S/O","S/O",
IF(G$44&gt;=D66,"Oui",
IF(G$44+MIN(E$30,MAX(D66-G$44,0))&gt;=D66,"Oui",
IF(AND(G$44+MIN(E$30,MAX(D66-G$44,0))&gt;=51%*D66,
G$44+MIN(E$30,MAX(D66-G$44,0))&gt;=D66),"Oui","Non"))))</f>
        <v>S/O</v>
      </c>
      <c r="F66" s="344" t="str">
        <f>IF(E66="S/O","S/O",G$44+H$44+I$44-D66)</f>
        <v>S/O</v>
      </c>
      <c r="G66" s="345" t="str">
        <f>IF(E66="S/O","S/O",IF(AND(E$30&gt;0,G$44&gt;0),MAX(D66-G$44,0),0))</f>
        <v>S/O</v>
      </c>
      <c r="H66" s="345" t="str">
        <f>IF(D66="S/O","S/O",
IF(AND($A$64=2,F$30&gt;0,G$44+H$44&gt;=51%*D66),MAX(ROUND(D66-G$44-H$44,0),0),0))</f>
        <v>S/O</v>
      </c>
      <c r="I66" s="480"/>
      <c r="J66" s="480"/>
      <c r="K66" s="486" t="s">
        <v>113</v>
      </c>
      <c r="L66" s="485"/>
      <c r="M66" s="479" t="s">
        <v>75</v>
      </c>
      <c r="N66" s="311"/>
      <c r="O66" s="311"/>
      <c r="P66" s="311"/>
      <c r="Q66" s="311"/>
      <c r="R66" s="311"/>
      <c r="S66" s="311"/>
      <c r="T66" s="311"/>
      <c r="U66" s="311"/>
      <c r="V66" s="311"/>
      <c r="W66" s="311"/>
      <c r="X66" s="311"/>
      <c r="Y66" s="311"/>
      <c r="Z66" s="311"/>
      <c r="AA66" s="311"/>
      <c r="AB66" s="311"/>
      <c r="AC66" s="311"/>
      <c r="AD66" s="311"/>
      <c r="AE66" s="311"/>
      <c r="AF66" s="311"/>
      <c r="AG66" s="311"/>
      <c r="AH66" s="311"/>
      <c r="AI66" s="311"/>
      <c r="AJ66" s="311"/>
      <c r="AK66" s="311"/>
      <c r="AL66" s="311"/>
      <c r="AM66" s="311"/>
      <c r="AN66" s="311"/>
      <c r="AO66" s="311"/>
      <c r="AP66" s="311"/>
      <c r="AQ66" s="311"/>
    </row>
    <row r="67" spans="1:49" s="374" customFormat="1" ht="67.900000000000006" customHeight="1" x14ac:dyDescent="0.2">
      <c r="A67" s="484"/>
      <c r="B67" s="346" t="s">
        <v>110</v>
      </c>
      <c r="C67" s="347" t="s">
        <v>185</v>
      </c>
      <c r="D67" s="343" t="str">
        <f>IF(A$64=3,IF($E$7*15%&gt;=60000*$K$7,ROUND(60000*$K$7,0),ROUND($E$7*15%,0)),"S/O")</f>
        <v>S/O</v>
      </c>
      <c r="E67" s="295" t="str">
        <f>IF(D67="S/O","S/O",IF(G$44&gt;=D67,"Oui",
IF(G$44+MIN(E$30+F30,MAX(D67-G$44,0))&gt;=D67,"Oui","Non")))</f>
        <v>S/O</v>
      </c>
      <c r="F67" s="344" t="str">
        <f>IF(E67="S/O","S/O",G$44+H$44+I$44-D67)</f>
        <v>S/O</v>
      </c>
      <c r="G67" s="345" t="str">
        <f>IF(E67="S/O","S/O",IF(AND(E$30&gt;0,G$44&gt;0),MAX(D67-G$44,0),0))</f>
        <v>S/O</v>
      </c>
      <c r="H67" s="345" t="str">
        <f>IF(D67="S/O","S/O",
IF(AND($A$64=3,F$30&gt;0,G$44+H$44&gt;=51%*D67),MAX(ROUND(D67-G$44-H$44,0),0),0))</f>
        <v>S/O</v>
      </c>
      <c r="I67" s="480"/>
      <c r="J67" s="485"/>
      <c r="K67" s="486" t="s">
        <v>112</v>
      </c>
      <c r="L67" s="485"/>
      <c r="M67" s="479" t="s">
        <v>117</v>
      </c>
      <c r="N67" s="311"/>
      <c r="O67" s="311"/>
      <c r="P67" s="311"/>
      <c r="Q67" s="311"/>
      <c r="R67" s="311"/>
      <c r="S67" s="311"/>
      <c r="T67" s="311"/>
      <c r="U67" s="311"/>
      <c r="V67" s="311"/>
      <c r="W67" s="311"/>
      <c r="X67" s="311"/>
      <c r="Y67" s="311"/>
      <c r="Z67" s="311"/>
      <c r="AA67" s="311"/>
      <c r="AB67" s="311"/>
      <c r="AC67" s="311"/>
      <c r="AD67" s="311"/>
      <c r="AE67" s="311"/>
      <c r="AF67" s="311"/>
      <c r="AG67" s="311"/>
      <c r="AH67" s="311"/>
      <c r="AI67" s="311"/>
      <c r="AJ67" s="311"/>
      <c r="AK67" s="311"/>
      <c r="AL67" s="311"/>
      <c r="AM67" s="311"/>
      <c r="AN67" s="311"/>
      <c r="AO67" s="311"/>
      <c r="AP67" s="311"/>
      <c r="AQ67" s="311"/>
    </row>
    <row r="68" spans="1:49" s="217" customFormat="1" ht="15.75" hidden="1" x14ac:dyDescent="0.2">
      <c r="C68" s="68"/>
      <c r="D68" s="68"/>
      <c r="E68" s="68"/>
      <c r="F68" s="68"/>
      <c r="G68" s="68"/>
      <c r="H68" s="68"/>
      <c r="I68" s="51"/>
      <c r="J68" s="51"/>
      <c r="K68" s="51"/>
      <c r="L68" s="51"/>
      <c r="M68" s="51"/>
      <c r="N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</row>
    <row r="69" spans="1:49" s="217" customFormat="1" ht="15.75" hidden="1" x14ac:dyDescent="0.2">
      <c r="C69" s="68"/>
      <c r="D69" s="68"/>
      <c r="E69" s="68"/>
      <c r="F69" s="68"/>
      <c r="G69" s="68"/>
      <c r="H69" s="68"/>
      <c r="I69" s="51"/>
      <c r="J69" s="51"/>
      <c r="K69" s="51"/>
      <c r="L69" s="51"/>
      <c r="M69" s="51"/>
      <c r="N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</row>
    <row r="70" spans="1:49" s="217" customFormat="1" ht="15.75" hidden="1" x14ac:dyDescent="0.2">
      <c r="C70" s="68"/>
      <c r="D70" s="68"/>
      <c r="E70" s="68"/>
      <c r="F70" s="68"/>
      <c r="G70" s="68"/>
      <c r="H70" s="68"/>
      <c r="I70" s="51"/>
      <c r="J70" s="51"/>
      <c r="K70" s="51"/>
      <c r="L70" s="51"/>
      <c r="M70" s="51"/>
      <c r="N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</row>
    <row r="71" spans="1:49" s="217" customFormat="1" ht="15.75" hidden="1" x14ac:dyDescent="0.2">
      <c r="C71" s="68"/>
      <c r="D71" s="68"/>
      <c r="E71" s="68"/>
      <c r="F71" s="68"/>
      <c r="G71" s="68"/>
      <c r="H71" s="68"/>
      <c r="I71" s="51"/>
      <c r="J71" s="51"/>
      <c r="K71" s="51"/>
      <c r="L71" s="51"/>
      <c r="M71" s="51"/>
      <c r="N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</row>
    <row r="72" spans="1:49" s="217" customFormat="1" ht="15.75" hidden="1" x14ac:dyDescent="0.2">
      <c r="C72" s="68"/>
      <c r="D72" s="68"/>
      <c r="E72" s="68"/>
      <c r="F72" s="68"/>
      <c r="G72" s="68"/>
      <c r="H72" s="68"/>
      <c r="I72" s="51"/>
      <c r="J72" s="51"/>
      <c r="K72" s="51"/>
      <c r="L72" s="51"/>
      <c r="M72" s="51"/>
      <c r="N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</row>
    <row r="73" spans="1:49" s="217" customFormat="1" ht="15.75" hidden="1" x14ac:dyDescent="0.2">
      <c r="C73" s="68"/>
      <c r="D73" s="68"/>
      <c r="E73" s="68"/>
      <c r="F73" s="68"/>
      <c r="G73" s="68"/>
      <c r="H73" s="68"/>
      <c r="I73" s="51"/>
      <c r="J73" s="51"/>
      <c r="K73" s="51"/>
      <c r="L73" s="51"/>
      <c r="M73" s="51"/>
      <c r="N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</row>
    <row r="74" spans="1:49" s="68" customFormat="1" ht="15.75" hidden="1" x14ac:dyDescent="0.2">
      <c r="A74" s="51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63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</row>
    <row r="75" spans="1:49" s="217" customFormat="1" ht="15.75" x14ac:dyDescent="0.2">
      <c r="C75" s="68"/>
      <c r="D75" s="68"/>
      <c r="E75" s="68"/>
      <c r="F75" s="68"/>
      <c r="G75" s="68"/>
      <c r="H75" s="68"/>
      <c r="I75" s="51"/>
      <c r="J75" s="51"/>
      <c r="K75" s="51"/>
      <c r="L75" s="51"/>
      <c r="M75" s="51"/>
      <c r="N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</row>
    <row r="76" spans="1:49" s="368" customFormat="1" ht="15.75" x14ac:dyDescent="0.2">
      <c r="A76" s="591" t="s">
        <v>118</v>
      </c>
      <c r="B76" s="591"/>
      <c r="C76" s="367"/>
      <c r="E76" s="369"/>
      <c r="F76" s="369"/>
      <c r="G76" s="369"/>
      <c r="H76" s="369"/>
      <c r="I76" s="369"/>
      <c r="J76" s="369"/>
      <c r="K76" s="369"/>
      <c r="L76" s="369"/>
      <c r="M76" s="311"/>
      <c r="N76" s="369"/>
      <c r="O76" s="369"/>
      <c r="P76" s="369"/>
      <c r="Q76" s="369"/>
      <c r="R76" s="369"/>
      <c r="S76" s="369"/>
      <c r="T76" s="369"/>
      <c r="U76" s="369"/>
      <c r="V76" s="369"/>
      <c r="W76" s="369"/>
      <c r="X76" s="369"/>
      <c r="Y76" s="369"/>
      <c r="Z76" s="369"/>
      <c r="AA76" s="369"/>
      <c r="AB76" s="369"/>
      <c r="AC76" s="369"/>
      <c r="AD76" s="369"/>
      <c r="AE76" s="369"/>
      <c r="AF76" s="369"/>
      <c r="AG76" s="369"/>
    </row>
    <row r="77" spans="1:49" s="368" customFormat="1" ht="24.95" customHeight="1" x14ac:dyDescent="0.2">
      <c r="A77" s="348"/>
      <c r="B77" s="348"/>
      <c r="C77" s="349"/>
      <c r="D77" s="526" t="s">
        <v>178</v>
      </c>
      <c r="E77" s="526"/>
      <c r="F77" s="527"/>
      <c r="G77" s="518" t="s">
        <v>193</v>
      </c>
      <c r="H77" s="519"/>
      <c r="I77" s="520"/>
      <c r="J77" s="529" t="s">
        <v>119</v>
      </c>
      <c r="K77" s="530"/>
      <c r="L77" s="531"/>
      <c r="M77" s="541" t="s">
        <v>120</v>
      </c>
      <c r="N77" s="542"/>
      <c r="O77" s="543"/>
      <c r="P77" s="369"/>
      <c r="Q77" s="369"/>
      <c r="R77" s="369"/>
      <c r="S77" s="369"/>
      <c r="T77" s="369"/>
      <c r="U77" s="369"/>
      <c r="V77" s="369"/>
      <c r="W77" s="369"/>
      <c r="X77" s="369"/>
      <c r="Y77" s="369"/>
      <c r="Z77" s="369"/>
      <c r="AA77" s="369"/>
      <c r="AB77" s="369"/>
      <c r="AC77" s="369"/>
      <c r="AD77" s="369"/>
      <c r="AE77" s="369"/>
      <c r="AF77" s="369"/>
      <c r="AG77" s="369"/>
      <c r="AH77" s="369"/>
      <c r="AI77" s="369"/>
      <c r="AJ77" s="369"/>
      <c r="AK77" s="369"/>
      <c r="AL77" s="369"/>
    </row>
    <row r="78" spans="1:49" s="372" customFormat="1" ht="48" customHeight="1" x14ac:dyDescent="0.2">
      <c r="A78" s="350"/>
      <c r="B78" s="524" t="s">
        <v>105</v>
      </c>
      <c r="C78" s="583"/>
      <c r="D78" s="351" t="s">
        <v>192</v>
      </c>
      <c r="E78" s="351" t="s">
        <v>121</v>
      </c>
      <c r="F78" s="351" t="s">
        <v>122</v>
      </c>
      <c r="G78" s="352" t="s">
        <v>123</v>
      </c>
      <c r="H78" s="352" t="s">
        <v>121</v>
      </c>
      <c r="I78" s="352" t="s">
        <v>122</v>
      </c>
      <c r="J78" s="353" t="s">
        <v>123</v>
      </c>
      <c r="K78" s="353" t="s">
        <v>121</v>
      </c>
      <c r="L78" s="353" t="s">
        <v>122</v>
      </c>
      <c r="M78" s="354" t="s">
        <v>124</v>
      </c>
      <c r="N78" s="355" t="s">
        <v>121</v>
      </c>
      <c r="O78" s="355" t="s">
        <v>122</v>
      </c>
      <c r="P78" s="370"/>
      <c r="Q78" s="370"/>
      <c r="R78" s="370"/>
      <c r="S78" s="371"/>
      <c r="T78" s="370"/>
      <c r="U78" s="370"/>
      <c r="V78" s="370"/>
      <c r="W78" s="370"/>
      <c r="X78" s="370"/>
      <c r="Y78" s="370"/>
      <c r="Z78" s="370"/>
      <c r="AA78" s="370"/>
      <c r="AB78" s="370"/>
      <c r="AC78" s="370"/>
      <c r="AD78" s="370"/>
      <c r="AE78" s="370"/>
      <c r="AF78" s="370"/>
      <c r="AG78" s="370"/>
      <c r="AH78" s="370"/>
      <c r="AI78" s="370"/>
      <c r="AJ78" s="370"/>
      <c r="AK78" s="370"/>
      <c r="AL78" s="370"/>
      <c r="AM78" s="370"/>
      <c r="AN78" s="370"/>
      <c r="AO78" s="370"/>
      <c r="AP78" s="370"/>
      <c r="AQ78" s="370"/>
      <c r="AR78" s="370"/>
      <c r="AS78" s="370"/>
      <c r="AT78" s="370"/>
      <c r="AU78" s="370"/>
      <c r="AV78" s="370"/>
      <c r="AW78" s="370"/>
    </row>
    <row r="79" spans="1:49" s="374" customFormat="1" ht="24.95" customHeight="1" x14ac:dyDescent="0.2">
      <c r="A79" s="262"/>
      <c r="B79" s="587" t="s">
        <v>109</v>
      </c>
      <c r="C79" s="588"/>
      <c r="D79" s="356"/>
      <c r="E79" s="357"/>
      <c r="F79" s="358"/>
      <c r="G79" s="359"/>
      <c r="H79" s="360"/>
      <c r="I79" s="361"/>
      <c r="J79" s="360"/>
      <c r="K79" s="360"/>
      <c r="L79" s="360"/>
      <c r="M79" s="532" t="str">
        <f>IF(I$64=2,K66,IF(I$64=3,K67,""))</f>
        <v/>
      </c>
      <c r="N79" s="589"/>
      <c r="O79" s="590"/>
      <c r="P79" s="311"/>
      <c r="Q79" s="311"/>
      <c r="R79" s="311"/>
      <c r="S79" s="373"/>
      <c r="T79" s="311"/>
      <c r="U79" s="311"/>
      <c r="V79" s="311"/>
      <c r="W79" s="311"/>
      <c r="X79" s="311"/>
      <c r="Y79" s="311"/>
      <c r="Z79" s="311"/>
      <c r="AA79" s="311"/>
      <c r="AB79" s="311"/>
      <c r="AC79" s="311"/>
      <c r="AD79" s="311"/>
      <c r="AE79" s="311"/>
      <c r="AF79" s="311"/>
      <c r="AG79" s="311"/>
      <c r="AH79" s="311"/>
      <c r="AI79" s="311"/>
      <c r="AJ79" s="311"/>
      <c r="AK79" s="311"/>
      <c r="AL79" s="311"/>
      <c r="AM79" s="311"/>
      <c r="AN79" s="311"/>
      <c r="AO79" s="311"/>
      <c r="AP79" s="311"/>
      <c r="AQ79" s="311"/>
      <c r="AR79" s="311"/>
      <c r="AS79" s="311"/>
      <c r="AT79" s="311"/>
      <c r="AU79" s="311"/>
      <c r="AV79" s="311"/>
      <c r="AW79" s="311"/>
    </row>
    <row r="80" spans="1:49" s="312" customFormat="1" ht="69.95" customHeight="1" x14ac:dyDescent="0.2">
      <c r="A80" s="262"/>
      <c r="B80" s="362" t="str">
        <f t="shared" ref="B80:B81" si="9">B66</f>
        <v>Longs métrages documentaires</v>
      </c>
      <c r="C80" s="363" t="s">
        <v>188</v>
      </c>
      <c r="D80" s="364" t="str">
        <f>IF(A$64=2,IF($E$15&lt;&gt;"Oui",IF($E$12&lt;&gt;"Oui",G80,MIN(G80+N(M80),ROUND(0.84*$E$7,0))),IF($E$12&lt;&gt;"Oui",MIN((G80+N(J80)),ROUND((0.84*$E$7),0)),MIN((G80+N(J80)+N(M80)),ROUND((0.84*$E$7),0)))),"S/O")</f>
        <v>S/O</v>
      </c>
      <c r="E80" s="365" t="str">
        <f>IF($A$64=2,IF(OR($C$30+IF($E$12="Oui",$E$13,0)&gt;D80,H80="Non",K80="Non",N80="Non"),"Non","Oui"), "S/O")</f>
        <v>S/O</v>
      </c>
      <c r="F80" s="343" t="str">
        <f>IF(E80="Non",MAX($C$30+$E$13-D80,N(I80)+N(L80)+N(O80)),"S/O")</f>
        <v>S/O</v>
      </c>
      <c r="G80" s="343" t="str">
        <f>IF(A$64=2,IF((0.49*$E$7)&lt;400000,ROUND((0.49*$E$7),0),400000),"S/O")</f>
        <v>S/O</v>
      </c>
      <c r="H80" s="365" t="str">
        <f>IF($A$64=2,IF($E$17&gt;G80,"Non","Oui"), "S/O")</f>
        <v>S/O</v>
      </c>
      <c r="I80" s="343" t="str">
        <f>IF(H80="Non",$E$17-G80,"S/O")</f>
        <v>S/O</v>
      </c>
      <c r="J80" s="343" t="str">
        <f>IF($A$64=2,IF($E$15="Oui",IF($I$64=4,ROUND(($F$10*$E$7),0)-$E$45,ROUND(($F$10*$E$7),0)),"S/O"),"S/O")</f>
        <v>S/O</v>
      </c>
      <c r="K80" s="365" t="str">
        <f>IF(J80="S/O","S/O",IF($A$64=2,IF(E16&gt;J80,"Non","Oui"), "S/O"))</f>
        <v>S/O</v>
      </c>
      <c r="L80" s="344" t="str">
        <f>IF(K80="Non",$E$16-J80,"S/O")</f>
        <v>S/O</v>
      </c>
      <c r="M80" s="343" t="str">
        <f>IF(A$64=2,IF(E$12="Oui",
             IF(AND(I$64=2,$E$15="Oui"),MIN(ROUND(0.15*$E$7,0),225000),
             IF(I$64=3,MIN(ROUND(0.3*$E$7,0),200000),"S/O")),
          "S/O"),
"S/O")</f>
        <v>S/O</v>
      </c>
      <c r="N80" s="365" t="str">
        <f>IF(M80="S/O","S/O",IF($E$13&gt;M80,"Non","Oui"))</f>
        <v>S/O</v>
      </c>
      <c r="O80" s="366" t="str">
        <f>IF(N80="Non",$E$13-M80,"S/O")</f>
        <v>S/O</v>
      </c>
      <c r="P80" s="311"/>
      <c r="Q80" s="311"/>
      <c r="R80" s="311"/>
      <c r="S80" s="311"/>
      <c r="T80" s="311"/>
      <c r="U80" s="311"/>
      <c r="V80" s="311"/>
      <c r="W80" s="311"/>
      <c r="X80" s="311"/>
      <c r="Y80" s="311"/>
      <c r="Z80" s="311"/>
      <c r="AA80" s="311"/>
      <c r="AB80" s="311"/>
      <c r="AC80" s="311"/>
      <c r="AD80" s="311"/>
      <c r="AE80" s="311"/>
      <c r="AF80" s="311"/>
      <c r="AG80" s="311"/>
      <c r="AH80" s="311"/>
      <c r="AI80" s="311"/>
      <c r="AJ80" s="311"/>
      <c r="AK80" s="311"/>
      <c r="AL80" s="311"/>
      <c r="AM80" s="311"/>
      <c r="AN80" s="311"/>
      <c r="AO80" s="311"/>
      <c r="AP80" s="311"/>
      <c r="AQ80" s="311"/>
      <c r="AR80" s="311"/>
      <c r="AS80" s="311"/>
    </row>
    <row r="81" spans="1:42" s="312" customFormat="1" ht="69.95" customHeight="1" x14ac:dyDescent="0.2">
      <c r="A81" s="262"/>
      <c r="B81" s="362" t="str">
        <f t="shared" si="9"/>
        <v>Autres documentaires d'auteur</v>
      </c>
      <c r="C81" s="363" t="s">
        <v>188</v>
      </c>
      <c r="D81" s="343" t="str">
        <f>IF(A$64=3,IF($E$15&lt;&gt;"Oui",IF($E$12&lt;&gt;"Oui",G81,MIN(G81+N(M81),ROUND(0.84*$E$7,0))),IF($E$12&lt;&gt;"Oui",MIN((G81+N(J81)),ROUND((0.84*$E$7),0)),MIN((G81+N(J81)+N(M81)),ROUND((0.84*$E$7),0)))),"S/O")</f>
        <v>S/O</v>
      </c>
      <c r="E81" s="365" t="str">
        <f>IF($A$64=3,IF(OR($C$30+IF($E$12="Oui",$E$13,0)&gt;D81,H81="Non",K81="Non",N81="Non"),"Non","Oui"), "S/O")</f>
        <v>S/O</v>
      </c>
      <c r="F81" s="343" t="str">
        <f>IF(E81="Non",MAX($C$30+$E$13-D81,N(I81)+N(L81)+N(O81)),"S/O")</f>
        <v>S/O</v>
      </c>
      <c r="G81" s="343" t="str">
        <f>IF(A$64=3,IF((0.49*$E$7)&lt;400000,ROUND((0.49*$E$7),0),400000),"S/O")</f>
        <v>S/O</v>
      </c>
      <c r="H81" s="365" t="str">
        <f>IF($A$64=3,IF($E$17&gt;G81,"Non","Oui"), "S/O")</f>
        <v>S/O</v>
      </c>
      <c r="I81" s="343" t="str">
        <f>IF(H81="Non",$E$17-G81,"S/O")</f>
        <v>S/O</v>
      </c>
      <c r="J81" s="343" t="str">
        <f>IF($A$64=3,IF($E$15="Oui",IF($I$64=4,ROUND(($F$10*$E$7),0)-$E$45,ROUND(($F$10*$E$7),0)),"S/O"),"S/O")</f>
        <v>S/O</v>
      </c>
      <c r="K81" s="365" t="str">
        <f>IF(J81="S/O","S/O",IF($A$64=3,IF($E$16&gt;J81,"Non","Oui"), "S/O"))</f>
        <v>S/O</v>
      </c>
      <c r="L81" s="344" t="str">
        <f>IF(K81="Non",$E$16-J81,"S/O")</f>
        <v>S/O</v>
      </c>
      <c r="M81" s="343" t="str">
        <f>IF(A$64=3,IF(E$12="Oui",
             IF(AND(I$64=2,$E$15="Oui"),MIN(ROUND(0.15*$E$7,0),225000),
             IF(I$64=3,MIN(ROUND(0.3*$E$7,0),200000),"S/O")),
          "S/O"),
"S/O")</f>
        <v>S/O</v>
      </c>
      <c r="N81" s="365" t="str">
        <f>IF(M81="S/O","S/O",IF($E$13&gt;M81,"Non","Oui"))</f>
        <v>S/O</v>
      </c>
      <c r="O81" s="366" t="str">
        <f>IF(N81="Non",$E$13-M81,"S/O")</f>
        <v>S/O</v>
      </c>
      <c r="P81" s="311"/>
      <c r="Q81" s="311"/>
      <c r="R81" s="375"/>
      <c r="S81" s="311"/>
      <c r="T81" s="311"/>
      <c r="U81" s="311"/>
      <c r="V81" s="311"/>
      <c r="W81" s="311"/>
      <c r="X81" s="311"/>
      <c r="Y81" s="311"/>
      <c r="Z81" s="311"/>
      <c r="AA81" s="311"/>
      <c r="AB81" s="311"/>
      <c r="AC81" s="311"/>
      <c r="AD81" s="311"/>
      <c r="AE81" s="311"/>
      <c r="AF81" s="311"/>
      <c r="AG81" s="311"/>
      <c r="AH81" s="311"/>
      <c r="AI81" s="311"/>
      <c r="AJ81" s="311"/>
      <c r="AK81" s="311"/>
      <c r="AL81" s="311"/>
      <c r="AM81" s="311"/>
      <c r="AN81" s="311"/>
      <c r="AO81" s="311"/>
      <c r="AP81" s="311"/>
    </row>
    <row r="82" spans="1:42" customFormat="1" x14ac:dyDescent="0.2"/>
    <row r="83" spans="1:42" s="312" customFormat="1" ht="45" customHeight="1" x14ac:dyDescent="0.2">
      <c r="A83" s="380" t="s">
        <v>64</v>
      </c>
      <c r="B83" s="381" t="str">
        <f>K66</f>
        <v>Mesure incitative pour la production régionale de langue française au Québec</v>
      </c>
      <c r="C83" s="521" t="s">
        <v>232</v>
      </c>
      <c r="D83" s="522"/>
      <c r="E83" s="522"/>
      <c r="F83" s="523"/>
      <c r="G83" s="382"/>
      <c r="H83" s="311"/>
      <c r="I83" s="311"/>
      <c r="J83" s="311"/>
      <c r="K83" s="311"/>
      <c r="L83" s="311"/>
      <c r="M83" s="262"/>
      <c r="N83" s="262"/>
      <c r="O83" s="262"/>
      <c r="P83" s="311"/>
      <c r="Q83" s="311"/>
      <c r="R83" s="311"/>
      <c r="S83" s="311"/>
      <c r="T83" s="311"/>
      <c r="U83" s="311"/>
      <c r="V83" s="311"/>
      <c r="W83" s="311"/>
      <c r="X83" s="311"/>
      <c r="Y83" s="311"/>
      <c r="Z83" s="311"/>
      <c r="AA83" s="311"/>
      <c r="AB83" s="311"/>
      <c r="AC83" s="311"/>
      <c r="AD83" s="311"/>
      <c r="AE83" s="311"/>
      <c r="AF83" s="311"/>
      <c r="AG83" s="311"/>
      <c r="AH83" s="311"/>
      <c r="AI83" s="311"/>
      <c r="AJ83" s="311"/>
      <c r="AK83" s="311"/>
    </row>
    <row r="84" spans="1:42" s="312" customFormat="1" ht="36" customHeight="1" x14ac:dyDescent="0.2">
      <c r="A84" s="380" t="s">
        <v>64</v>
      </c>
      <c r="B84" s="381" t="str">
        <f>K67</f>
        <v>Mesure incitative pour les projets nordiques</v>
      </c>
      <c r="C84" s="584" t="s">
        <v>187</v>
      </c>
      <c r="D84" s="585"/>
      <c r="E84" s="585"/>
      <c r="F84" s="586"/>
      <c r="G84" s="382"/>
      <c r="H84" s="311"/>
      <c r="I84" s="311"/>
      <c r="J84" s="311"/>
      <c r="K84" s="311"/>
      <c r="L84" s="311"/>
      <c r="M84" s="262"/>
      <c r="N84" s="262"/>
      <c r="O84" s="262"/>
      <c r="P84" s="311"/>
      <c r="Q84" s="311"/>
      <c r="R84" s="311"/>
      <c r="S84" s="311"/>
      <c r="T84" s="311"/>
      <c r="U84" s="311"/>
      <c r="V84" s="311"/>
      <c r="W84" s="311"/>
      <c r="X84" s="311"/>
      <c r="Y84" s="311"/>
      <c r="Z84" s="311"/>
      <c r="AA84" s="311"/>
      <c r="AB84" s="311"/>
      <c r="AC84" s="311"/>
      <c r="AD84" s="311"/>
      <c r="AE84" s="311"/>
      <c r="AF84" s="311"/>
      <c r="AG84" s="311"/>
      <c r="AH84" s="311"/>
      <c r="AI84" s="311"/>
      <c r="AJ84" s="311"/>
      <c r="AK84" s="311"/>
    </row>
    <row r="85" spans="1:42" x14ac:dyDescent="0.2">
      <c r="M85" s="99"/>
      <c r="N85" s="99"/>
      <c r="O85" s="99"/>
      <c r="AL85" s="213"/>
      <c r="AM85" s="213"/>
      <c r="AN85" s="213"/>
      <c r="AO85" s="213"/>
    </row>
    <row r="86" spans="1:42" x14ac:dyDescent="0.2">
      <c r="M86" s="99"/>
      <c r="N86" s="99"/>
      <c r="O86" s="99"/>
      <c r="AL86" s="213"/>
      <c r="AM86" s="213"/>
      <c r="AN86" s="213"/>
      <c r="AO86" s="213"/>
    </row>
    <row r="87" spans="1:42" x14ac:dyDescent="0.2">
      <c r="M87" s="99"/>
      <c r="N87" s="99"/>
      <c r="O87" s="99"/>
      <c r="AL87" s="213"/>
      <c r="AM87" s="213"/>
      <c r="AN87" s="213"/>
      <c r="AO87" s="213"/>
    </row>
    <row r="88" spans="1:42" x14ac:dyDescent="0.2">
      <c r="M88" s="99"/>
      <c r="N88" s="99"/>
      <c r="O88" s="99"/>
      <c r="AL88" s="213"/>
      <c r="AM88" s="213"/>
      <c r="AN88" s="213"/>
      <c r="AO88" s="213"/>
    </row>
    <row r="89" spans="1:42" x14ac:dyDescent="0.2">
      <c r="AL89" s="213"/>
      <c r="AM89" s="213"/>
      <c r="AN89" s="213"/>
      <c r="AO89" s="213"/>
    </row>
    <row r="90" spans="1:42" x14ac:dyDescent="0.2">
      <c r="AL90" s="213"/>
      <c r="AM90" s="213"/>
      <c r="AN90" s="213"/>
      <c r="AO90" s="213"/>
    </row>
    <row r="91" spans="1:42" x14ac:dyDescent="0.2">
      <c r="AL91" s="213"/>
      <c r="AM91" s="213"/>
      <c r="AN91" s="213"/>
      <c r="AO91" s="213"/>
    </row>
    <row r="92" spans="1:42" x14ac:dyDescent="0.2">
      <c r="AL92" s="213"/>
      <c r="AM92" s="213"/>
      <c r="AN92" s="213"/>
      <c r="AO92" s="213"/>
    </row>
    <row r="93" spans="1:42" x14ac:dyDescent="0.2">
      <c r="AL93" s="213"/>
      <c r="AM93" s="213"/>
      <c r="AN93" s="213"/>
      <c r="AO93" s="213"/>
    </row>
    <row r="94" spans="1:42" x14ac:dyDescent="0.2">
      <c r="AL94" s="213"/>
      <c r="AM94" s="213"/>
      <c r="AN94" s="213"/>
      <c r="AO94" s="213"/>
    </row>
    <row r="95" spans="1:42" x14ac:dyDescent="0.2">
      <c r="AL95" s="213"/>
      <c r="AM95" s="213"/>
      <c r="AN95" s="213"/>
      <c r="AO95" s="213"/>
    </row>
    <row r="96" spans="1:42" s="115" customFormat="1" x14ac:dyDescent="0.2">
      <c r="A96" s="5"/>
      <c r="B96" s="220"/>
      <c r="C96" s="6"/>
      <c r="D96" s="6"/>
      <c r="E96" s="5"/>
      <c r="F96" s="5"/>
      <c r="G96" s="5"/>
      <c r="H96" s="5"/>
      <c r="I96" s="5"/>
      <c r="J96" s="5"/>
      <c r="K96" s="5"/>
      <c r="L96" s="5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211"/>
      <c r="AM96" s="211"/>
      <c r="AN96" s="211"/>
      <c r="AO96" s="211"/>
    </row>
    <row r="97" spans="1:41" s="115" customFormat="1" x14ac:dyDescent="0.2">
      <c r="A97" s="5"/>
      <c r="B97" s="528"/>
      <c r="C97" s="528"/>
      <c r="D97" s="528"/>
      <c r="E97" s="5"/>
      <c r="F97" s="5"/>
      <c r="G97" s="5"/>
      <c r="H97" s="5"/>
      <c r="I97" s="5"/>
      <c r="J97" s="5"/>
      <c r="K97" s="5"/>
      <c r="L97" s="5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211"/>
      <c r="AM97" s="211"/>
      <c r="AN97" s="211"/>
      <c r="AO97" s="211"/>
    </row>
    <row r="98" spans="1:41" s="115" customFormat="1" x14ac:dyDescent="0.2">
      <c r="A98" s="5"/>
      <c r="B98" s="517"/>
      <c r="C98" s="517"/>
      <c r="D98" s="517"/>
      <c r="E98" s="5"/>
      <c r="F98" s="5"/>
      <c r="G98" s="5"/>
      <c r="H98" s="5"/>
      <c r="I98" s="5"/>
      <c r="J98" s="5"/>
      <c r="K98" s="5"/>
      <c r="L98" s="5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211"/>
      <c r="AM98" s="211"/>
      <c r="AN98" s="211"/>
      <c r="AO98" s="211"/>
    </row>
  </sheetData>
  <sheetProtection algorithmName="SHA-512" hashValue="O915wKpgoitr6g0+1eDQYPG6iUn9/q4VbF0hOacz1ARcerweSwvv7Arfwc+9+tk4P+1kxscvPQ4IL5SGhVKaBA==" saltValue="QD5SJqAsRtljsa2MutulTQ==" spinCount="100000" sheet="1" objects="1" scenarios="1"/>
  <dataConsolidate/>
  <mergeCells count="36">
    <mergeCell ref="A22:B22"/>
    <mergeCell ref="A36:B36"/>
    <mergeCell ref="G63:H63"/>
    <mergeCell ref="M79:O79"/>
    <mergeCell ref="M77:O77"/>
    <mergeCell ref="A76:B76"/>
    <mergeCell ref="D77:F77"/>
    <mergeCell ref="G77:I77"/>
    <mergeCell ref="J77:L77"/>
    <mergeCell ref="B98:D98"/>
    <mergeCell ref="B78:C78"/>
    <mergeCell ref="C83:F83"/>
    <mergeCell ref="C84:F84"/>
    <mergeCell ref="B97:D97"/>
    <mergeCell ref="B79:C79"/>
    <mergeCell ref="C1:K1"/>
    <mergeCell ref="B2:D2"/>
    <mergeCell ref="F2:G2"/>
    <mergeCell ref="H2:I2"/>
    <mergeCell ref="J2:K2"/>
    <mergeCell ref="A5:B5"/>
    <mergeCell ref="A32:A33"/>
    <mergeCell ref="B32:K33"/>
    <mergeCell ref="A63:C63"/>
    <mergeCell ref="I50:J50"/>
    <mergeCell ref="A45:B45"/>
    <mergeCell ref="A30:B30"/>
    <mergeCell ref="C7:D7"/>
    <mergeCell ref="C10:D10"/>
    <mergeCell ref="C12:D12"/>
    <mergeCell ref="I13:J13"/>
    <mergeCell ref="B15:D15"/>
    <mergeCell ref="B16:D16"/>
    <mergeCell ref="B17:D17"/>
    <mergeCell ref="I15:J15"/>
    <mergeCell ref="H35:I35"/>
  </mergeCells>
  <conditionalFormatting sqref="E66:E67">
    <cfRule type="containsText" dxfId="16" priority="32" operator="containsText" text="No">
      <formula>NOT(ISERROR(SEARCH("No",E66)))</formula>
    </cfRule>
  </conditionalFormatting>
  <conditionalFormatting sqref="E80:E81">
    <cfRule type="containsText" dxfId="15" priority="6" operator="containsText" text="No">
      <formula>NOT(ISERROR(SEARCH("No",E80)))</formula>
    </cfRule>
  </conditionalFormatting>
  <conditionalFormatting sqref="G63">
    <cfRule type="containsText" dxfId="14" priority="1" operator="containsText" text="(4) The indicated Market Contribution exceeds the Maximal Market Contribution.">
      <formula>NOT(ISERROR(SEARCH("(4) The indicated Market Contribution exceeds the Maximal Market Contribution.",G63)))</formula>
    </cfRule>
  </conditionalFormatting>
  <dataValidations count="12">
    <dataValidation type="whole" allowBlank="1" showInputMessage="1" showErrorMessage="1" errorTitle="Not a number" error="Enter the Envelope Contribution for this licence" sqref="G45 E38:E44" xr:uid="{518C4E90-9FE3-4A71-A141-842D107C714D}">
      <formula1>0</formula1>
      <formula2>999999999999999</formula2>
    </dataValidation>
    <dataValidation type="list" allowBlank="1" showInputMessage="1" showErrorMessage="1" sqref="F12" xr:uid="{F31B7732-1B75-4724-8820-E582F5FB50C6}">
      <formula1>#REF!</formula1>
    </dataValidation>
    <dataValidation type="date" allowBlank="1" showInputMessage="1" showErrorMessage="1" promptTitle="Date" prompt="ex. A-M-J" sqref="G24:G29" xr:uid="{788D2467-C15E-472E-A327-9921E352E477}">
      <formula1>36526</formula1>
      <formula2>401749</formula2>
    </dataValidation>
    <dataValidation type="decimal" allowBlank="1" showInputMessage="1" showErrorMessage="1" errorTitle="Not a number" error="Enter the Envelope Contribution for this licence" sqref="C24:C26" xr:uid="{E1496B0B-8324-416C-AA75-86A65551287B}">
      <formula1>0</formula1>
      <formula2>999999999999999</formula2>
    </dataValidation>
    <dataValidation type="whole" allowBlank="1" showInputMessage="1" showErrorMessage="1" sqref="J24:J29" xr:uid="{497CCC6F-2EE8-4C8D-BDDE-0F698D9FFD0D}">
      <formula1>0</formula1>
      <formula2>999</formula2>
    </dataValidation>
    <dataValidation allowBlank="1" showInputMessage="1" showErrorMessage="1" promptTitle="# of Months" prompt="Enter adjusted exclusivity in &quot;number of months&quot;." sqref="X38:X43" xr:uid="{98235257-791B-42D4-8767-FB06C07C9A79}"/>
    <dataValidation type="decimal" allowBlank="1" showErrorMessage="1" errorTitle="Not a number" error="Enter the Envelope Contribution for this licence" sqref="C29 C27" xr:uid="{0A4D4496-483F-4661-B35D-6BE9C43F23AD}">
      <formula1>0</formula1>
      <formula2>999999999999999</formula2>
    </dataValidation>
    <dataValidation allowBlank="1" showInputMessage="1" showErrorMessage="1" promptTitle="Nombre de mois" prompt="Saisir la période en mois. Les équations sont permises (ex. : =6*12)" sqref="I24:I29" xr:uid="{46F888EA-6E82-40E3-BA7B-34A274068FF3}"/>
    <dataValidation type="decimal" allowBlank="1" showInputMessage="1" showErrorMessage="1" errorTitle="Not a number" error="Enter the Envelope Contribution for this licence" prompt="SVP entrez les licences en premier, voir note (1) ci-dessus" sqref="E24:F24" xr:uid="{54A4BF6C-5CDD-4B5B-871F-D896CB7A8D41}">
      <formula1>0</formula1>
      <formula2>999999999999999</formula2>
    </dataValidation>
    <dataValidation type="list" allowBlank="1" showInputMessage="1" showErrorMessage="1" sqref="E15 E12" xr:uid="{05E732FB-8105-40A3-A7A0-438264472CFB}">
      <formula1>$M$65:$M$67</formula1>
    </dataValidation>
    <dataValidation type="list" allowBlank="1" showInputMessage="1" showErrorMessage="1" sqref="E10" xr:uid="{AFFA898E-FA46-4DAE-BE4E-C9B0CD53EB0C}">
      <formula1>$M$66:$M$67</formula1>
    </dataValidation>
    <dataValidation type="custom" showInputMessage="1" showErrorMessage="1" error="SVP ne pas supprimer" sqref="I64 A64" xr:uid="{AB897DCC-D2E1-4FCD-8C45-783EBAF78A15}">
      <formula1>""</formula1>
    </dataValidation>
  </dataValidations>
  <printOptions horizontalCentered="1"/>
  <pageMargins left="0.6692913385826772" right="0.6692913385826772" top="0.59055118110236227" bottom="0.6692913385826772" header="0.51181102362204722" footer="0.51181102362204722"/>
  <pageSetup scale="63" fitToHeight="3" orientation="landscape" r:id="rId1"/>
  <headerFooter alignWithMargins="0"/>
  <rowBreaks count="2" manualBreakCount="2">
    <brk id="34" max="14" man="1"/>
    <brk id="75" max="1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Drop Down 1">
              <controlPr locked="0" defaultSize="0" autoLine="0" autoPict="0">
                <anchor moveWithCells="1">
                  <from>
                    <xdr:col>2</xdr:col>
                    <xdr:colOff>76200</xdr:colOff>
                    <xdr:row>4</xdr:row>
                    <xdr:rowOff>9525</xdr:rowOff>
                  </from>
                  <to>
                    <xdr:col>5</xdr:col>
                    <xdr:colOff>342900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Drop Down 2">
              <controlPr locked="0" defaultSize="0" autoLine="0" autoPict="0">
                <anchor moveWithCells="1">
                  <from>
                    <xdr:col>0</xdr:col>
                    <xdr:colOff>133350</xdr:colOff>
                    <xdr:row>12</xdr:row>
                    <xdr:rowOff>38100</xdr:rowOff>
                  </from>
                  <to>
                    <xdr:col>3</xdr:col>
                    <xdr:colOff>962025</xdr:colOff>
                    <xdr:row>12</xdr:row>
                    <xdr:rowOff>371475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7A5CFC49-8D12-4C15-B7C6-C0DFC39392FE}">
            <xm:f>NOT(ISERROR(SEARCH("No",H80)))</xm:f>
            <xm:f>"No"</xm:f>
            <x14:dxf>
              <font>
                <color rgb="FFFF0000"/>
              </font>
              <fill>
                <patternFill>
                  <fgColor rgb="FFFFFF00"/>
                  <bgColor rgb="FFFFFF00"/>
                </patternFill>
              </fill>
            </x14:dxf>
          </x14:cfRule>
          <xm:sqref>H80:H81</xm:sqref>
        </x14:conditionalFormatting>
        <x14:conditionalFormatting xmlns:xm="http://schemas.microsoft.com/office/excel/2006/main">
          <x14:cfRule type="containsText" priority="4" operator="containsText" id="{09AF932C-B4F3-4FA9-A818-C95B9187CBB4}">
            <xm:f>NOT(ISERROR(SEARCH("No",K80)))</xm:f>
            <xm:f>"No"</xm:f>
            <x14:dxf>
              <font>
                <color rgb="FFFF0000"/>
              </font>
              <fill>
                <patternFill>
                  <fgColor rgb="FFFFFF00"/>
                  <bgColor rgb="FFFFFF00"/>
                </patternFill>
              </fill>
            </x14:dxf>
          </x14:cfRule>
          <xm:sqref>K80:K81</xm:sqref>
        </x14:conditionalFormatting>
        <x14:conditionalFormatting xmlns:xm="http://schemas.microsoft.com/office/excel/2006/main">
          <x14:cfRule type="containsText" priority="3" operator="containsText" id="{66157217-087A-48B0-BCF0-E5F6B25EE0CD}">
            <xm:f>NOT(ISERROR(SEARCH("No",N80)))</xm:f>
            <xm:f>"No"</xm:f>
            <x14:dxf>
              <font>
                <color rgb="FFFF0000"/>
              </font>
              <fill>
                <patternFill>
                  <fgColor rgb="FFFFFF00"/>
                  <bgColor rgb="FFFFFF00"/>
                </patternFill>
              </fill>
            </x14:dxf>
          </x14:cfRule>
          <xm:sqref>N80:N81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509B9-039E-4A3E-AAD4-8007778A52A7}">
  <sheetPr>
    <tabColor theme="6" tint="0.39997558519241921"/>
  </sheetPr>
  <dimension ref="A1:AW126"/>
  <sheetViews>
    <sheetView topLeftCell="A5" zoomScaleNormal="100" workbookViewId="0">
      <selection activeCell="E13" sqref="E13"/>
    </sheetView>
  </sheetViews>
  <sheetFormatPr baseColWidth="10" defaultColWidth="8.88671875" defaultRowHeight="15" x14ac:dyDescent="0.2"/>
  <cols>
    <col min="1" max="1" width="10.88671875" customWidth="1"/>
    <col min="2" max="2" width="19.21875" style="3" customWidth="1"/>
    <col min="3" max="3" width="13.88671875" customWidth="1"/>
    <col min="4" max="4" width="12.21875" customWidth="1"/>
    <col min="5" max="5" width="10.77734375" customWidth="1"/>
    <col min="6" max="6" width="11.77734375" customWidth="1"/>
    <col min="7" max="9" width="10.77734375" customWidth="1"/>
    <col min="10" max="10" width="8.77734375" customWidth="1"/>
    <col min="11" max="11" width="12.5546875" customWidth="1"/>
    <col min="12" max="15" width="8.77734375" customWidth="1"/>
    <col min="18" max="18" width="9.6640625" bestFit="1" customWidth="1"/>
    <col min="42" max="16384" width="8.88671875" style="2"/>
  </cols>
  <sheetData>
    <row r="1" spans="1:47" ht="76.150000000000006" customHeight="1" thickBot="1" x14ac:dyDescent="0.25">
      <c r="A1" s="8"/>
      <c r="B1" s="9"/>
      <c r="C1" s="595" t="s">
        <v>125</v>
      </c>
      <c r="D1" s="595"/>
      <c r="E1" s="595"/>
      <c r="F1" s="595"/>
      <c r="G1" s="595"/>
      <c r="H1" s="595"/>
      <c r="I1" s="595"/>
      <c r="J1" s="595"/>
      <c r="K1" s="595"/>
      <c r="AP1" s="25"/>
      <c r="AQ1" s="25"/>
      <c r="AR1" s="25"/>
      <c r="AS1" s="25"/>
      <c r="AT1" s="25"/>
      <c r="AU1" s="25"/>
    </row>
    <row r="2" spans="1:47" s="1" customFormat="1" ht="31.5" customHeight="1" thickBot="1" x14ac:dyDescent="0.25">
      <c r="A2" s="203" t="s">
        <v>67</v>
      </c>
      <c r="B2" s="511"/>
      <c r="C2" s="577"/>
      <c r="D2" s="578"/>
      <c r="E2" s="160" t="s">
        <v>126</v>
      </c>
      <c r="F2" s="511"/>
      <c r="G2" s="579"/>
      <c r="H2" s="580" t="s">
        <v>2</v>
      </c>
      <c r="I2" s="580"/>
      <c r="J2" s="581"/>
      <c r="K2" s="58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 s="244"/>
      <c r="AO2" s="244"/>
      <c r="AP2" s="244"/>
      <c r="AQ2" s="244"/>
      <c r="AR2" s="244"/>
      <c r="AS2" s="244"/>
      <c r="AT2" s="244"/>
      <c r="AU2" s="244"/>
    </row>
    <row r="3" spans="1:47" s="1" customFormat="1" ht="21" x14ac:dyDescent="0.2">
      <c r="A3" s="124" t="s">
        <v>69</v>
      </c>
      <c r="B3" s="121"/>
      <c r="C3" s="122"/>
      <c r="D3" s="10"/>
      <c r="E3" s="237"/>
      <c r="F3" s="11"/>
      <c r="G3" s="12"/>
      <c r="H3" s="237"/>
      <c r="I3" s="11"/>
      <c r="J3" s="13"/>
      <c r="K3" s="13"/>
      <c r="L3" s="5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 s="244"/>
      <c r="AP3" s="244"/>
      <c r="AQ3" s="244"/>
      <c r="AR3" s="244"/>
      <c r="AS3" s="244"/>
      <c r="AT3" s="244"/>
      <c r="AU3" s="244"/>
    </row>
    <row r="4" spans="1:47" ht="6" customHeight="1" x14ac:dyDescent="0.2">
      <c r="A4" s="13"/>
      <c r="B4" s="31"/>
      <c r="C4" s="32"/>
      <c r="D4" s="14"/>
      <c r="E4" s="14"/>
      <c r="F4" s="14"/>
      <c r="G4" s="15"/>
      <c r="H4" s="16"/>
      <c r="I4" s="25"/>
      <c r="K4" s="25"/>
      <c r="AP4" s="25"/>
      <c r="AQ4" s="25"/>
      <c r="AR4" s="25"/>
      <c r="AS4" s="25"/>
      <c r="AT4" s="25"/>
      <c r="AU4" s="25"/>
    </row>
    <row r="5" spans="1:47" ht="18" customHeight="1" x14ac:dyDescent="0.2">
      <c r="A5" s="507" t="s">
        <v>105</v>
      </c>
      <c r="B5" s="508"/>
      <c r="C5" s="238"/>
      <c r="D5" s="238"/>
      <c r="E5" s="238"/>
      <c r="F5" s="239"/>
      <c r="G5" s="25"/>
      <c r="L5" s="5"/>
      <c r="M5" s="25"/>
      <c r="AP5" s="25"/>
      <c r="AQ5" s="25"/>
      <c r="AR5" s="25"/>
      <c r="AS5" s="25"/>
      <c r="AT5" s="25"/>
      <c r="AU5" s="25"/>
    </row>
    <row r="6" spans="1:47" ht="11.25" customHeight="1" x14ac:dyDescent="0.2">
      <c r="A6" s="33"/>
      <c r="B6" s="34"/>
      <c r="C6" s="238"/>
      <c r="D6" s="238"/>
      <c r="E6" s="238"/>
      <c r="F6" s="239"/>
      <c r="G6" s="25"/>
      <c r="L6" s="5"/>
      <c r="M6" s="25"/>
      <c r="AP6" s="25"/>
      <c r="AQ6" s="25"/>
      <c r="AR6" s="25"/>
      <c r="AS6" s="25"/>
      <c r="AT6" s="25"/>
      <c r="AU6" s="25"/>
    </row>
    <row r="7" spans="1:47" s="22" customFormat="1" ht="39.6" customHeight="1" x14ac:dyDescent="0.2">
      <c r="A7" s="17"/>
      <c r="B7" s="23"/>
      <c r="C7" s="494" t="s">
        <v>127</v>
      </c>
      <c r="D7" s="496"/>
      <c r="E7" s="184"/>
      <c r="F7" s="110" t="s">
        <v>72</v>
      </c>
      <c r="G7" s="127"/>
      <c r="H7" s="110" t="s">
        <v>128</v>
      </c>
      <c r="I7" s="127"/>
      <c r="J7" s="161" t="s">
        <v>74</v>
      </c>
      <c r="K7" s="128">
        <f>(G7*I7)/60</f>
        <v>0</v>
      </c>
      <c r="L7" s="24"/>
      <c r="M7"/>
      <c r="N7"/>
      <c r="O7"/>
      <c r="P7"/>
      <c r="Q7" s="18"/>
      <c r="R7" s="18"/>
      <c r="S7" s="18"/>
      <c r="T7" s="18"/>
      <c r="U7" s="18"/>
      <c r="V7" s="18"/>
      <c r="W7" s="19"/>
      <c r="X7" s="19"/>
      <c r="Y7" s="20"/>
      <c r="Z7" s="21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</row>
    <row r="8" spans="1:47" x14ac:dyDescent="0.2">
      <c r="A8" s="13"/>
      <c r="B8" s="31"/>
      <c r="C8" s="32"/>
      <c r="D8" s="14"/>
      <c r="E8" s="14"/>
      <c r="F8" s="14"/>
      <c r="G8" s="15"/>
      <c r="H8" s="31"/>
      <c r="I8" s="15"/>
      <c r="J8" s="15"/>
      <c r="K8" s="129"/>
      <c r="L8" s="15"/>
      <c r="AP8" s="25"/>
      <c r="AQ8" s="25"/>
      <c r="AR8" s="25"/>
      <c r="AS8" s="25"/>
      <c r="AT8" s="25"/>
      <c r="AU8" s="25"/>
    </row>
    <row r="9" spans="1:47" s="22" customFormat="1" ht="15.75" hidden="1" x14ac:dyDescent="0.2">
      <c r="A9" s="17"/>
      <c r="B9" s="23"/>
      <c r="C9" s="32"/>
      <c r="D9" s="14"/>
      <c r="E9" s="14"/>
      <c r="F9" s="14"/>
      <c r="G9" s="14"/>
      <c r="L9" s="31"/>
      <c r="M9" s="31"/>
      <c r="N9" s="31"/>
      <c r="O9" s="24"/>
      <c r="P9"/>
      <c r="Q9"/>
      <c r="R9"/>
      <c r="S9"/>
      <c r="T9" s="18"/>
      <c r="U9" s="18"/>
      <c r="V9" s="18"/>
      <c r="W9" s="18"/>
      <c r="X9" s="18"/>
      <c r="Y9" s="18"/>
      <c r="Z9" s="19"/>
      <c r="AA9" s="19"/>
      <c r="AB9" s="20"/>
      <c r="AC9" s="21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</row>
    <row r="10" spans="1:47" s="22" customFormat="1" ht="15.75" hidden="1" x14ac:dyDescent="0.2">
      <c r="A10" s="17"/>
      <c r="B10" s="23"/>
      <c r="C10" s="494" t="s">
        <v>9</v>
      </c>
      <c r="D10" s="495"/>
      <c r="E10" s="126"/>
      <c r="F10" s="35">
        <f>IF(E10="Yes",60%,60%)</f>
        <v>0.6</v>
      </c>
      <c r="G10" s="31"/>
      <c r="H10" s="24"/>
      <c r="I10" s="24"/>
      <c r="L10" s="16"/>
      <c r="M10" s="31"/>
      <c r="N10" s="31"/>
      <c r="O10" s="24"/>
      <c r="P10"/>
      <c r="Q10"/>
      <c r="R10"/>
      <c r="S10"/>
      <c r="T10" s="18"/>
      <c r="U10" s="18"/>
      <c r="V10" s="18"/>
      <c r="W10" s="18"/>
      <c r="X10" s="18"/>
      <c r="Y10" s="18"/>
      <c r="Z10" s="19"/>
      <c r="AA10" s="19"/>
      <c r="AB10" s="20"/>
      <c r="AC10" s="21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</row>
    <row r="11" spans="1:47" s="22" customFormat="1" ht="24" customHeight="1" x14ac:dyDescent="0.2">
      <c r="A11" s="17"/>
      <c r="B11" s="17"/>
      <c r="C11" s="17"/>
      <c r="D11" s="17"/>
      <c r="E11" s="17"/>
      <c r="F11" s="17"/>
      <c r="G11" s="17"/>
      <c r="H11" s="17"/>
      <c r="J11" s="162" t="s">
        <v>76</v>
      </c>
      <c r="K11" s="183" t="e">
        <f>$E$7/$K$7</f>
        <v>#DIV/0!</v>
      </c>
      <c r="L11" s="16"/>
      <c r="M11" s="31"/>
      <c r="N11" s="31"/>
      <c r="O11" s="24"/>
      <c r="P11"/>
      <c r="Q11"/>
      <c r="R11"/>
      <c r="S11"/>
      <c r="T11" s="18"/>
      <c r="U11" s="18"/>
      <c r="V11" s="18"/>
      <c r="W11" s="18"/>
      <c r="X11" s="18"/>
      <c r="Y11" s="18"/>
      <c r="Z11" s="19"/>
      <c r="AA11" s="19"/>
      <c r="AB11" s="20"/>
      <c r="AC11" s="21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</row>
    <row r="12" spans="1:47" ht="24.75" customHeight="1" x14ac:dyDescent="0.2">
      <c r="A12" s="29"/>
      <c r="B12" s="23"/>
      <c r="C12" s="494" t="s">
        <v>77</v>
      </c>
      <c r="D12" s="495"/>
      <c r="E12" s="158"/>
      <c r="G12" s="15"/>
      <c r="H12" s="25"/>
      <c r="I12" s="25"/>
      <c r="J12" s="25"/>
      <c r="K12" s="25"/>
      <c r="L12" s="14"/>
      <c r="M12" s="14"/>
      <c r="N12" s="15"/>
      <c r="O12" s="5"/>
      <c r="AP12"/>
      <c r="AQ12"/>
      <c r="AR12"/>
      <c r="AS12" s="25"/>
      <c r="AT12" s="25"/>
      <c r="AU12" s="25"/>
    </row>
    <row r="13" spans="1:47" ht="27" customHeight="1" x14ac:dyDescent="0.2">
      <c r="A13" s="30"/>
      <c r="B13" s="23"/>
      <c r="C13" s="25"/>
      <c r="D13" s="25"/>
      <c r="E13" s="184"/>
      <c r="G13" s="15"/>
      <c r="H13" s="25"/>
      <c r="I13" s="25"/>
      <c r="J13" s="25"/>
      <c r="K13" s="25"/>
      <c r="M13" s="15"/>
      <c r="N13" s="16"/>
      <c r="AP13"/>
      <c r="AQ13"/>
      <c r="AR13"/>
      <c r="AS13"/>
      <c r="AT13"/>
      <c r="AU13"/>
    </row>
    <row r="14" spans="1:47" ht="17.25" customHeight="1" x14ac:dyDescent="0.2">
      <c r="A14" s="25"/>
      <c r="B14"/>
      <c r="E14" s="8"/>
      <c r="F14" s="5"/>
      <c r="G14" s="25"/>
      <c r="K14" s="26"/>
      <c r="L14" s="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</row>
    <row r="15" spans="1:47" ht="31.5" customHeight="1" thickBot="1" x14ac:dyDescent="0.25">
      <c r="A15" s="25"/>
      <c r="B15"/>
      <c r="C15" s="494" t="s">
        <v>129</v>
      </c>
      <c r="D15" s="495"/>
      <c r="E15" s="158"/>
      <c r="F15" s="5"/>
      <c r="G15" s="25"/>
      <c r="I15" s="8"/>
      <c r="K15" s="25"/>
      <c r="L15" s="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</row>
    <row r="16" spans="1:47" ht="23.25" customHeight="1" thickBot="1" x14ac:dyDescent="0.25">
      <c r="A16" s="25"/>
      <c r="B16"/>
      <c r="C16" s="616" t="s">
        <v>130</v>
      </c>
      <c r="D16" s="617"/>
      <c r="E16" s="205">
        <f>C28-E17</f>
        <v>0</v>
      </c>
      <c r="F16" s="5"/>
      <c r="G16" s="25"/>
      <c r="K16" s="26"/>
      <c r="L16" s="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</row>
    <row r="17" spans="1:41" ht="31.15" customHeight="1" x14ac:dyDescent="0.2">
      <c r="A17" s="25"/>
      <c r="B17"/>
      <c r="C17" s="618" t="s">
        <v>131</v>
      </c>
      <c r="D17" s="495"/>
      <c r="E17" s="125"/>
      <c r="F17" s="5"/>
      <c r="G17" s="25"/>
      <c r="K17" s="26"/>
      <c r="L17" s="5"/>
      <c r="AJ17" s="25"/>
      <c r="AK17" s="25"/>
      <c r="AL17" s="25"/>
      <c r="AM17" s="25"/>
      <c r="AN17" s="25"/>
      <c r="AO17" s="25"/>
    </row>
    <row r="18" spans="1:41" ht="17.25" customHeight="1" x14ac:dyDescent="0.2">
      <c r="A18" s="25"/>
      <c r="B18"/>
      <c r="F18" s="5"/>
      <c r="G18" s="25"/>
      <c r="K18" s="26"/>
      <c r="L18" s="5"/>
      <c r="AJ18" s="25"/>
      <c r="AK18" s="25"/>
      <c r="AL18" s="25"/>
      <c r="AM18" s="25"/>
      <c r="AN18" s="25"/>
      <c r="AO18" s="25"/>
    </row>
    <row r="19" spans="1:41" ht="21" customHeight="1" x14ac:dyDescent="0.2">
      <c r="A19" s="593" t="s">
        <v>81</v>
      </c>
      <c r="B19" s="593"/>
      <c r="C19" s="593"/>
      <c r="D19" s="114"/>
      <c r="E19" s="240"/>
      <c r="F19" s="211"/>
      <c r="G19" s="25"/>
      <c r="J19" s="24"/>
      <c r="AN19" s="25"/>
      <c r="AO19" s="25"/>
    </row>
    <row r="20" spans="1:41" ht="13.5" customHeight="1" x14ac:dyDescent="0.2">
      <c r="A20" s="599" t="s">
        <v>132</v>
      </c>
      <c r="B20" s="599"/>
      <c r="C20" s="599"/>
      <c r="D20" s="599"/>
      <c r="E20" s="599"/>
      <c r="F20" s="599"/>
      <c r="G20" s="25"/>
      <c r="K20" s="26"/>
      <c r="L20" s="5"/>
      <c r="AJ20" s="25"/>
      <c r="AK20" s="25"/>
      <c r="AL20" s="25"/>
      <c r="AM20" s="25"/>
      <c r="AN20" s="25"/>
      <c r="AO20" s="25"/>
    </row>
    <row r="21" spans="1:41" s="72" customFormat="1" ht="42" customHeight="1" x14ac:dyDescent="0.2">
      <c r="A21" s="40"/>
      <c r="B21" s="163" t="s">
        <v>133</v>
      </c>
      <c r="C21" s="164" t="s">
        <v>134</v>
      </c>
      <c r="D21" s="165" t="s">
        <v>82</v>
      </c>
      <c r="E21" s="166" t="s">
        <v>135</v>
      </c>
      <c r="F21" s="103" t="s">
        <v>136</v>
      </c>
      <c r="G21" s="163" t="s">
        <v>137</v>
      </c>
      <c r="H21" s="163" t="s">
        <v>138</v>
      </c>
      <c r="I21" s="163" t="s">
        <v>84</v>
      </c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</row>
    <row r="22" spans="1:41" s="39" customFormat="1" ht="15.75" x14ac:dyDescent="0.25">
      <c r="A22" s="167" t="s">
        <v>85</v>
      </c>
      <c r="B22" s="131"/>
      <c r="C22" s="126"/>
      <c r="D22" s="126"/>
      <c r="E22" s="132"/>
      <c r="F22" s="189">
        <f t="shared" ref="F22:F27" si="0">DATE(YEAR(E22),(MONTH(E22)+G22),DAY(E22))</f>
        <v>0</v>
      </c>
      <c r="G22" s="133"/>
      <c r="H22" s="133"/>
      <c r="I22" s="133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</row>
    <row r="23" spans="1:41" s="39" customFormat="1" ht="18" customHeight="1" x14ac:dyDescent="0.25">
      <c r="A23" s="118" t="s">
        <v>86</v>
      </c>
      <c r="B23" s="131"/>
      <c r="C23" s="126"/>
      <c r="D23" s="126"/>
      <c r="E23" s="132"/>
      <c r="F23" s="189">
        <f t="shared" si="0"/>
        <v>0</v>
      </c>
      <c r="G23" s="133"/>
      <c r="H23" s="133"/>
      <c r="I23" s="133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</row>
    <row r="24" spans="1:41" s="39" customFormat="1" ht="18.75" customHeight="1" x14ac:dyDescent="0.25">
      <c r="A24" s="118" t="s">
        <v>87</v>
      </c>
      <c r="B24" s="131"/>
      <c r="C24" s="126"/>
      <c r="D24" s="126"/>
      <c r="E24" s="132"/>
      <c r="F24" s="189">
        <f t="shared" si="0"/>
        <v>0</v>
      </c>
      <c r="G24" s="133"/>
      <c r="H24" s="133"/>
      <c r="I24" s="133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</row>
    <row r="25" spans="1:41" s="39" customFormat="1" ht="18" customHeight="1" x14ac:dyDescent="0.25">
      <c r="A25" s="118" t="s">
        <v>88</v>
      </c>
      <c r="B25" s="131"/>
      <c r="C25" s="126"/>
      <c r="D25" s="126"/>
      <c r="E25" s="132"/>
      <c r="F25" s="189">
        <f t="shared" si="0"/>
        <v>0</v>
      </c>
      <c r="G25" s="133"/>
      <c r="H25" s="133"/>
      <c r="I25" s="133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</row>
    <row r="26" spans="1:41" s="39" customFormat="1" ht="16.5" customHeight="1" x14ac:dyDescent="0.25">
      <c r="A26" s="118" t="s">
        <v>89</v>
      </c>
      <c r="B26" s="131"/>
      <c r="C26" s="126"/>
      <c r="D26" s="126"/>
      <c r="E26" s="132"/>
      <c r="F26" s="189">
        <f t="shared" si="0"/>
        <v>0</v>
      </c>
      <c r="G26" s="133"/>
      <c r="H26" s="133"/>
      <c r="I26" s="134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</row>
    <row r="27" spans="1:41" s="39" customFormat="1" ht="18.75" customHeight="1" thickBot="1" x14ac:dyDescent="0.3">
      <c r="A27" s="118" t="s">
        <v>90</v>
      </c>
      <c r="B27" s="135"/>
      <c r="C27" s="136"/>
      <c r="D27" s="136"/>
      <c r="E27" s="132"/>
      <c r="F27" s="189">
        <f t="shared" si="0"/>
        <v>0</v>
      </c>
      <c r="G27" s="133"/>
      <c r="H27" s="133"/>
      <c r="I27" s="134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</row>
    <row r="28" spans="1:41" s="39" customFormat="1" ht="20.25" customHeight="1" thickBot="1" x14ac:dyDescent="0.3">
      <c r="A28" s="501" t="s">
        <v>91</v>
      </c>
      <c r="B28" s="501"/>
      <c r="C28" s="204">
        <f>SUM(C22:C27)</f>
        <v>0</v>
      </c>
      <c r="D28" s="204">
        <f>SUM(D22:D27)</f>
        <v>0</v>
      </c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</row>
    <row r="29" spans="1:41" s="39" customFormat="1" ht="14.25" customHeight="1" x14ac:dyDescent="0.25">
      <c r="A29" s="43"/>
      <c r="B29" s="44"/>
      <c r="C29" s="45"/>
      <c r="D29" s="45"/>
      <c r="E29" s="45"/>
      <c r="F29" s="45"/>
      <c r="G29" s="46"/>
      <c r="H29" s="46"/>
      <c r="I29" s="47"/>
      <c r="J29" s="48"/>
      <c r="K29" s="48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</row>
    <row r="30" spans="1:41" s="39" customFormat="1" ht="25.5" customHeight="1" x14ac:dyDescent="0.25">
      <c r="A30" s="600" t="s">
        <v>92</v>
      </c>
      <c r="B30" s="602"/>
      <c r="C30" s="603"/>
      <c r="D30" s="603"/>
      <c r="E30" s="603"/>
      <c r="F30" s="603"/>
      <c r="G30" s="603"/>
      <c r="H30" s="603"/>
      <c r="I30" s="603"/>
      <c r="J30" s="603"/>
      <c r="K30" s="604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</row>
    <row r="31" spans="1:41" s="39" customFormat="1" ht="25.5" customHeight="1" x14ac:dyDescent="0.25">
      <c r="A31" s="601"/>
      <c r="B31" s="605"/>
      <c r="C31" s="606"/>
      <c r="D31" s="606"/>
      <c r="E31" s="606"/>
      <c r="F31" s="606"/>
      <c r="G31" s="606"/>
      <c r="H31" s="606"/>
      <c r="I31" s="606"/>
      <c r="J31" s="606"/>
      <c r="K31" s="60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</row>
    <row r="32" spans="1:41" s="39" customFormat="1" ht="15.75" customHeight="1" x14ac:dyDescent="0.25">
      <c r="A32" s="49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1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</row>
    <row r="33" spans="1:41" s="39" customFormat="1" ht="18.75" customHeight="1" x14ac:dyDescent="0.25">
      <c r="A33" s="168" t="s">
        <v>139</v>
      </c>
      <c r="B33" s="169"/>
      <c r="C33" s="170"/>
      <c r="D33" s="171"/>
      <c r="E33" s="50"/>
      <c r="F33" s="58"/>
      <c r="G33" s="56"/>
      <c r="H33" s="56"/>
      <c r="I33" s="56"/>
      <c r="J33" s="56"/>
      <c r="K33" s="56"/>
      <c r="L33" s="51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</row>
    <row r="34" spans="1:41" s="72" customFormat="1" ht="51" x14ac:dyDescent="0.2">
      <c r="A34" s="172"/>
      <c r="B34" s="108" t="s">
        <v>140</v>
      </c>
      <c r="C34" s="108" t="s">
        <v>93</v>
      </c>
      <c r="D34" s="108" t="s">
        <v>141</v>
      </c>
      <c r="E34" s="173" t="s">
        <v>142</v>
      </c>
      <c r="F34" s="173" t="s">
        <v>95</v>
      </c>
      <c r="G34" s="174" t="s">
        <v>82</v>
      </c>
      <c r="H34" s="174" t="s">
        <v>96</v>
      </c>
      <c r="I34" s="108" t="s">
        <v>143</v>
      </c>
      <c r="J34" s="108" t="s">
        <v>144</v>
      </c>
      <c r="K34" s="108" t="s">
        <v>145</v>
      </c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</row>
    <row r="35" spans="1:41" s="39" customFormat="1" ht="15.75" x14ac:dyDescent="0.25">
      <c r="A35" s="83"/>
      <c r="B35" s="157" t="s">
        <v>98</v>
      </c>
      <c r="C35" s="175">
        <f>IF($E$42-(E7*A64)&lt;A66,E35,IF((E7*A64)&lt;MIN(E17,G73:G77),ROUND(E7*A64,0),MIN(E17,G73:G77)))</f>
        <v>0</v>
      </c>
      <c r="D35" s="175">
        <f t="shared" ref="D35:D42" si="1">E35-C35</f>
        <v>0</v>
      </c>
      <c r="E35" s="176">
        <f>IF(MAX(G$73:G$77)&lt;E17,MAX(G$73:G$77),(E17))</f>
        <v>0</v>
      </c>
      <c r="F35" s="77" t="e">
        <f t="shared" ref="F35:F41" si="2">(C35+D35)/$E$7</f>
        <v>#DIV/0!</v>
      </c>
      <c r="G35" s="78"/>
      <c r="H35" s="77"/>
      <c r="I35" s="79"/>
      <c r="J35" s="79"/>
      <c r="K35" s="79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</row>
    <row r="36" spans="1:41" s="39" customFormat="1" ht="15.75" x14ac:dyDescent="0.25">
      <c r="A36" s="167" t="s">
        <v>85</v>
      </c>
      <c r="B36" s="76">
        <f>$B$22</f>
        <v>0</v>
      </c>
      <c r="C36" s="175">
        <f>IF(($C$42-$C$35)&gt;0,ROUND((E36/($E$42-$E$35)*($C$42-$C$35)),0),0)</f>
        <v>0</v>
      </c>
      <c r="D36" s="175">
        <f t="shared" si="1"/>
        <v>0</v>
      </c>
      <c r="E36" s="176">
        <f>IF($E$42=0,0,ROUND(((C22/C$28)*E$42)-$E$35,0))</f>
        <v>0</v>
      </c>
      <c r="F36" s="77" t="e">
        <f t="shared" si="2"/>
        <v>#DIV/0!</v>
      </c>
      <c r="G36" s="180">
        <f>$H$48</f>
        <v>0</v>
      </c>
      <c r="H36" s="77" t="e">
        <f t="shared" ref="H36:H41" si="3">G36/E$7</f>
        <v>#DIV/0!</v>
      </c>
      <c r="I36" s="79">
        <f>IF(G22&lt;72,G22,72)</f>
        <v>0</v>
      </c>
      <c r="J36" s="79">
        <f t="shared" ref="J36:J41" si="4">H22</f>
        <v>0</v>
      </c>
      <c r="K36" s="79" t="s">
        <v>146</v>
      </c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</row>
    <row r="37" spans="1:41" s="39" customFormat="1" ht="15.75" x14ac:dyDescent="0.25">
      <c r="A37" s="118" t="s">
        <v>86</v>
      </c>
      <c r="B37" s="76">
        <f>$B$23</f>
        <v>0</v>
      </c>
      <c r="C37" s="175">
        <f t="shared" ref="C37:C41" si="5">IF(($C$42-$C$35)&gt;0,ROUND((E37/($E$42-$E$35)*($C$42-$C$35)),0),0)</f>
        <v>0</v>
      </c>
      <c r="D37" s="175">
        <f t="shared" si="1"/>
        <v>0</v>
      </c>
      <c r="E37" s="176">
        <f>IF($E$42&gt;0,ROUND(+C23/C$28*E$42,0),0)</f>
        <v>0</v>
      </c>
      <c r="F37" s="77" t="e">
        <f t="shared" si="2"/>
        <v>#DIV/0!</v>
      </c>
      <c r="G37" s="180">
        <f>$H$50</f>
        <v>0</v>
      </c>
      <c r="H37" s="77" t="e">
        <f t="shared" si="3"/>
        <v>#DIV/0!</v>
      </c>
      <c r="I37" s="80">
        <f>IF(G23=0,0,IF(G23&lt;F50,G23,$F$50))</f>
        <v>0</v>
      </c>
      <c r="J37" s="79">
        <f t="shared" si="4"/>
        <v>0</v>
      </c>
      <c r="K37" s="189">
        <f>IF(E23&gt;DATE(YEAR(E$22),MONTH(E$22)+J36,DAY(E$22)),E23,DATE(YEAR(E$22),MONTH(E$22)+J36,DAY(E$22)))</f>
        <v>0</v>
      </c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</row>
    <row r="38" spans="1:41" s="39" customFormat="1" ht="15.75" x14ac:dyDescent="0.25">
      <c r="A38" s="118" t="s">
        <v>87</v>
      </c>
      <c r="B38" s="76">
        <f>$B$24</f>
        <v>0</v>
      </c>
      <c r="C38" s="175">
        <f t="shared" si="5"/>
        <v>0</v>
      </c>
      <c r="D38" s="175">
        <f t="shared" si="1"/>
        <v>0</v>
      </c>
      <c r="E38" s="176">
        <f>IF($E$42&gt;0,ROUND(+C24/C$28*E$42,0),0)</f>
        <v>0</v>
      </c>
      <c r="F38" s="77" t="e">
        <f t="shared" si="2"/>
        <v>#DIV/0!</v>
      </c>
      <c r="G38" s="180">
        <f>$H$52</f>
        <v>0</v>
      </c>
      <c r="H38" s="77" t="e">
        <f t="shared" si="3"/>
        <v>#DIV/0!</v>
      </c>
      <c r="I38" s="80">
        <f>IF(G24=0,0,IF(G24&lt;F52,G24,$F$52))</f>
        <v>0</v>
      </c>
      <c r="J38" s="79">
        <f t="shared" si="4"/>
        <v>0</v>
      </c>
      <c r="K38" s="189">
        <f>IF(E24&gt;DATE(YEAR(E$22),MONTH(E$22)+J36+J37,DAY(E$22)),E24,DATE(YEAR(E$22),MONTH(E$22)+J36+J$37,DAY(E$22)))</f>
        <v>0</v>
      </c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</row>
    <row r="39" spans="1:41" s="39" customFormat="1" ht="15.75" customHeight="1" x14ac:dyDescent="0.25">
      <c r="A39" s="118" t="s">
        <v>88</v>
      </c>
      <c r="B39" s="76">
        <f>$B$25</f>
        <v>0</v>
      </c>
      <c r="C39" s="175">
        <f>IF(($C$42-$C$35)&gt;0,ROUND((E39/($E$42-$E$35)*($C$42-$C$35)),0),0)</f>
        <v>0</v>
      </c>
      <c r="D39" s="175">
        <f t="shared" si="1"/>
        <v>0</v>
      </c>
      <c r="E39" s="176">
        <f>IF($E$42&gt;0,ROUND(+C25/C$28*E$42,0),0)</f>
        <v>0</v>
      </c>
      <c r="F39" s="77" t="e">
        <f t="shared" si="2"/>
        <v>#DIV/0!</v>
      </c>
      <c r="G39" s="180">
        <f>$H$54</f>
        <v>0</v>
      </c>
      <c r="H39" s="77" t="e">
        <f t="shared" si="3"/>
        <v>#DIV/0!</v>
      </c>
      <c r="I39" s="80">
        <f>IF(G25=0,0,IF(G25&lt;F54,G25,$F$54))</f>
        <v>0</v>
      </c>
      <c r="J39" s="79">
        <f t="shared" si="4"/>
        <v>0</v>
      </c>
      <c r="K39" s="189">
        <f>IF(E25&gt;DATE(YEAR(E$22),MONTH(E$22)+J$36+J$37+J38,DAY(E$22)),E25,DATE(YEAR(E$22),MONTH(E$22)+J$36+J$37+J38,DAY(E$22)))</f>
        <v>0</v>
      </c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</row>
    <row r="40" spans="1:41" s="39" customFormat="1" ht="15.75" x14ac:dyDescent="0.25">
      <c r="A40" s="118" t="s">
        <v>89</v>
      </c>
      <c r="B40" s="76">
        <f>$B$26</f>
        <v>0</v>
      </c>
      <c r="C40" s="175">
        <f t="shared" si="5"/>
        <v>0</v>
      </c>
      <c r="D40" s="175">
        <f t="shared" si="1"/>
        <v>0</v>
      </c>
      <c r="E40" s="176">
        <f>IF($E$42&gt;0,ROUND(+C26/C$28*E$42,0),0)</f>
        <v>0</v>
      </c>
      <c r="F40" s="77" t="e">
        <f t="shared" si="2"/>
        <v>#DIV/0!</v>
      </c>
      <c r="G40" s="180">
        <f>$H$56</f>
        <v>0</v>
      </c>
      <c r="H40" s="77" t="e">
        <f t="shared" si="3"/>
        <v>#DIV/0!</v>
      </c>
      <c r="I40" s="80">
        <f>IF(G26=0,0,IF(G26&lt;F56,G26,$F$56))</f>
        <v>0</v>
      </c>
      <c r="J40" s="79">
        <f t="shared" si="4"/>
        <v>0</v>
      </c>
      <c r="K40" s="189">
        <f>IF(E26&gt;DATE(YEAR(E$22),MONTH(E$22)+J$36+J$37+J38+J39,DAY(E$22)),E26,DATE(YEAR(E$22),MONTH(E$22)+J$36+J$37+J38+J39,DAY(E$22)))</f>
        <v>0</v>
      </c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</row>
    <row r="41" spans="1:41" s="39" customFormat="1" ht="16.5" thickBot="1" x14ac:dyDescent="0.3">
      <c r="A41" s="118" t="s">
        <v>90</v>
      </c>
      <c r="B41" s="82">
        <f>$B$27</f>
        <v>0</v>
      </c>
      <c r="C41" s="175">
        <f t="shared" si="5"/>
        <v>0</v>
      </c>
      <c r="D41" s="177">
        <f t="shared" si="1"/>
        <v>0</v>
      </c>
      <c r="E41" s="178">
        <f>IF($E$42&gt;0,ROUND(+C27/C$28*E$42,0),0)</f>
        <v>0</v>
      </c>
      <c r="F41" s="138" t="e">
        <f t="shared" si="2"/>
        <v>#DIV/0!</v>
      </c>
      <c r="G41" s="181">
        <f>$H$58</f>
        <v>0</v>
      </c>
      <c r="H41" s="138" t="e">
        <f t="shared" si="3"/>
        <v>#DIV/0!</v>
      </c>
      <c r="I41" s="80">
        <f>IF(G27=0,0,IF(G27&lt;F58,G27,$F$58))</f>
        <v>0</v>
      </c>
      <c r="J41" s="79">
        <f t="shared" si="4"/>
        <v>0</v>
      </c>
      <c r="K41" s="189">
        <f>IF(E27&gt;DATE(YEAR(E$22),MONTH(E$22)+J$36+J$37+J38+J39+J40,DAY(E$22)),E27,DATE(YEAR(E$22),MONTH(E$22)+J$36+J$37+J38+J39+J40,DAY(E$22)))</f>
        <v>0</v>
      </c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</row>
    <row r="42" spans="1:41" s="42" customFormat="1" ht="20.100000000000001" customHeight="1" thickBot="1" x14ac:dyDescent="0.25">
      <c r="A42" s="87"/>
      <c r="B42" s="137" t="s">
        <v>147</v>
      </c>
      <c r="C42" s="179">
        <f>IF(E42-(E7*A64)&lt;A66,E42,IF((E$7*A64)&lt;E42,ROUND(E$7*A64,0),E42))</f>
        <v>0</v>
      </c>
      <c r="D42" s="179">
        <f t="shared" si="1"/>
        <v>0</v>
      </c>
      <c r="E42" s="179">
        <f>IF(MAX(D$73:D$77)&lt;(C28),MIN(MAX(D$73:D$77)-E35-E43,E16)+E35,MIN(C28-E35,E16)+E35)</f>
        <v>0</v>
      </c>
      <c r="F42" s="139" t="e">
        <f>SUM(F35:F41)</f>
        <v>#DIV/0!</v>
      </c>
      <c r="G42" s="182">
        <f>SUM(G36:G41)</f>
        <v>0</v>
      </c>
      <c r="H42" s="139" t="e">
        <f>SUM(H36:H41)</f>
        <v>#DIV/0!</v>
      </c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</row>
    <row r="43" spans="1:41" s="39" customFormat="1" ht="24.95" customHeight="1" x14ac:dyDescent="0.25">
      <c r="C43" s="608" t="str">
        <f>IF($E$12="Yes",IF(#REF!=1,#REF!,IF(#REF!=2,#REF!,IF(#REF!=3,I63,IF(#REF!=4,I64,"Error")))),"Mesure incitative")</f>
        <v>Mesure incitative</v>
      </c>
      <c r="D43" s="609"/>
      <c r="E43" s="185">
        <f>IF(E12="Oui",MIN(E13,MAX(M73:M75)),0)</f>
        <v>0</v>
      </c>
      <c r="F43" s="186" t="e">
        <f>E43/$E$7</f>
        <v>#DIV/0!</v>
      </c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</row>
    <row r="44" spans="1:41" s="39" customFormat="1" ht="10.5" hidden="1" customHeight="1" x14ac:dyDescent="0.25">
      <c r="F44" s="74"/>
      <c r="G44" s="74"/>
      <c r="H44" s="57"/>
      <c r="I44" s="57"/>
      <c r="J44" s="57"/>
      <c r="K44" s="57"/>
      <c r="L44" s="5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</row>
    <row r="45" spans="1:41" s="39" customFormat="1" ht="14.25" customHeight="1" x14ac:dyDescent="0.25">
      <c r="A45" s="113" t="s">
        <v>148</v>
      </c>
      <c r="B45" s="75"/>
      <c r="C45" s="75"/>
      <c r="D45" s="75"/>
      <c r="J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</row>
    <row r="46" spans="1:41" s="39" customFormat="1" ht="21" customHeight="1" x14ac:dyDescent="0.25">
      <c r="J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</row>
    <row r="47" spans="1:41" s="39" customFormat="1" ht="18.75" customHeight="1" x14ac:dyDescent="0.25">
      <c r="A47" s="52" t="s">
        <v>99</v>
      </c>
      <c r="B47" s="53"/>
      <c r="I47" s="37"/>
      <c r="J47" s="37"/>
      <c r="K47" s="56"/>
      <c r="L47" s="51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</row>
    <row r="48" spans="1:41" s="38" customFormat="1" ht="34.15" customHeight="1" x14ac:dyDescent="0.25">
      <c r="A48" s="167" t="s">
        <v>85</v>
      </c>
      <c r="B48" s="187">
        <f>D$22</f>
        <v>0</v>
      </c>
      <c r="C48" s="86" t="s">
        <v>34</v>
      </c>
      <c r="D48" s="140">
        <f>$G$22</f>
        <v>0</v>
      </c>
      <c r="E48" s="86" t="s">
        <v>35</v>
      </c>
      <c r="F48" s="140">
        <v>72</v>
      </c>
      <c r="G48" s="86" t="s">
        <v>36</v>
      </c>
      <c r="H48" s="187">
        <f>IF(G22&lt;72,B48,(B48/D48)*F48)</f>
        <v>0</v>
      </c>
      <c r="I48" s="610" t="s">
        <v>100</v>
      </c>
      <c r="J48" s="611"/>
      <c r="K48" s="188">
        <f>DATE(YEAR(E22),MONTH(E22)+72,DAY(E22))</f>
        <v>2192</v>
      </c>
      <c r="L48" s="51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</row>
    <row r="49" spans="1:41" s="39" customFormat="1" ht="25.5" x14ac:dyDescent="0.25">
      <c r="A49" s="117"/>
      <c r="B49" s="144" t="s">
        <v>101</v>
      </c>
      <c r="C49" s="142"/>
      <c r="D49" s="142" t="s">
        <v>102</v>
      </c>
      <c r="E49" s="143"/>
      <c r="F49" s="142" t="s">
        <v>103</v>
      </c>
      <c r="G49" s="143"/>
      <c r="H49" s="144" t="s">
        <v>104</v>
      </c>
      <c r="I49" s="87"/>
      <c r="J49" s="87"/>
      <c r="K49" s="88"/>
      <c r="L49" s="51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</row>
    <row r="50" spans="1:41" s="39" customFormat="1" ht="20.25" customHeight="1" x14ac:dyDescent="0.25">
      <c r="A50" s="118" t="s">
        <v>86</v>
      </c>
      <c r="B50" s="187">
        <f>$D$23</f>
        <v>0</v>
      </c>
      <c r="C50" s="86" t="s">
        <v>34</v>
      </c>
      <c r="D50" s="140">
        <f>$G$23</f>
        <v>0</v>
      </c>
      <c r="E50" s="86" t="s">
        <v>35</v>
      </c>
      <c r="F50" s="141">
        <f>IF((YEAR(K$48)-YEAR(K37))*12+MONTH(K$48)-MONTH(K37)&lt;0,0,(YEAR(K$48)-YEAR(K37))*12+MONTH(K$48)-MONTH(K37))</f>
        <v>71</v>
      </c>
      <c r="G50" s="86" t="s">
        <v>36</v>
      </c>
      <c r="H50" s="187">
        <f>IF(D23=0,0,IF(D50&lt;F50,B50,(B50/D50)*F50))</f>
        <v>0</v>
      </c>
      <c r="I50" s="89"/>
      <c r="J50" s="89"/>
      <c r="K50" s="90"/>
      <c r="L50" s="51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</row>
    <row r="51" spans="1:41" s="39" customFormat="1" ht="25.5" x14ac:dyDescent="0.25">
      <c r="A51" s="119"/>
      <c r="B51" s="144" t="s">
        <v>101</v>
      </c>
      <c r="C51" s="142"/>
      <c r="D51" s="142" t="s">
        <v>102</v>
      </c>
      <c r="E51" s="143"/>
      <c r="F51" s="142" t="s">
        <v>103</v>
      </c>
      <c r="G51" s="143"/>
      <c r="H51" s="144" t="s">
        <v>104</v>
      </c>
      <c r="I51" s="87"/>
      <c r="J51" s="87"/>
      <c r="K51" s="88"/>
      <c r="L51" s="51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</row>
    <row r="52" spans="1:41" s="39" customFormat="1" ht="17.25" customHeight="1" x14ac:dyDescent="0.25">
      <c r="A52" s="118" t="s">
        <v>87</v>
      </c>
      <c r="B52" s="187">
        <f>$D$24</f>
        <v>0</v>
      </c>
      <c r="C52" s="86" t="s">
        <v>34</v>
      </c>
      <c r="D52" s="140">
        <f>$G$24</f>
        <v>0</v>
      </c>
      <c r="E52" s="86" t="s">
        <v>35</v>
      </c>
      <c r="F52" s="141">
        <f>IF((YEAR(K$48)-YEAR(K38))*12+MONTH(K$48)-MONTH(K38)&lt;0,0,(YEAR(K$48)-YEAR(K38))*12+MONTH(K$48)-MONTH(K38))</f>
        <v>71</v>
      </c>
      <c r="G52" s="86" t="s">
        <v>36</v>
      </c>
      <c r="H52" s="187">
        <f>IF(D24=0,0,IF(D52&lt;F52,B52,(B52/D52)*F52))</f>
        <v>0</v>
      </c>
      <c r="I52" s="89"/>
      <c r="J52" s="89"/>
      <c r="K52" s="90"/>
      <c r="L52" s="51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</row>
    <row r="53" spans="1:41" s="39" customFormat="1" ht="25.5" x14ac:dyDescent="0.25">
      <c r="A53" s="120"/>
      <c r="B53" s="144" t="s">
        <v>101</v>
      </c>
      <c r="C53" s="142"/>
      <c r="D53" s="142" t="s">
        <v>102</v>
      </c>
      <c r="E53" s="143"/>
      <c r="F53" s="142" t="s">
        <v>103</v>
      </c>
      <c r="G53" s="143"/>
      <c r="H53" s="144" t="s">
        <v>104</v>
      </c>
      <c r="I53" s="87"/>
      <c r="J53" s="87"/>
      <c r="K53" s="88"/>
      <c r="L53" s="51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</row>
    <row r="54" spans="1:41" s="39" customFormat="1" ht="15.75" x14ac:dyDescent="0.25">
      <c r="A54" s="118" t="s">
        <v>88</v>
      </c>
      <c r="B54" s="187">
        <f>$D$25</f>
        <v>0</v>
      </c>
      <c r="C54" s="86" t="s">
        <v>34</v>
      </c>
      <c r="D54" s="141">
        <f>$G$25</f>
        <v>0</v>
      </c>
      <c r="E54" s="86" t="s">
        <v>35</v>
      </c>
      <c r="F54" s="141">
        <f>IF((YEAR(K$48)-YEAR(K39))*12+MONTH(K$48)-MONTH(K39)&lt;0,0,(YEAR(K$48)-YEAR(K39))*12+MONTH(K$48)-MONTH(K39))</f>
        <v>71</v>
      </c>
      <c r="G54" s="86" t="s">
        <v>36</v>
      </c>
      <c r="H54" s="187">
        <f>IF(D25=0,0,IF(D54&lt;F54,B54,(B54/D54)*F54))</f>
        <v>0</v>
      </c>
      <c r="I54" s="89"/>
      <c r="J54" s="89"/>
      <c r="K54" s="90"/>
      <c r="L54" s="51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</row>
    <row r="55" spans="1:41" s="39" customFormat="1" ht="25.5" x14ac:dyDescent="0.25">
      <c r="A55" s="117"/>
      <c r="B55" s="144" t="s">
        <v>101</v>
      </c>
      <c r="C55" s="142"/>
      <c r="D55" s="142" t="s">
        <v>102</v>
      </c>
      <c r="E55" s="143"/>
      <c r="F55" s="142" t="s">
        <v>103</v>
      </c>
      <c r="G55" s="143"/>
      <c r="H55" s="144" t="s">
        <v>104</v>
      </c>
      <c r="I55" s="87"/>
      <c r="J55" s="87"/>
      <c r="K55" s="88"/>
      <c r="L55" s="51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</row>
    <row r="56" spans="1:41" s="39" customFormat="1" ht="15.75" x14ac:dyDescent="0.25">
      <c r="A56" s="118" t="s">
        <v>89</v>
      </c>
      <c r="B56" s="187">
        <f>$D$26</f>
        <v>0</v>
      </c>
      <c r="C56" s="86" t="s">
        <v>34</v>
      </c>
      <c r="D56" s="141">
        <f>$G$26</f>
        <v>0</v>
      </c>
      <c r="E56" s="86" t="s">
        <v>35</v>
      </c>
      <c r="F56" s="141">
        <f>IF((YEAR(K$48)-YEAR(K40))*12+MONTH(K$48)-MONTH(K40)&lt;0,0,(YEAR(K$48)-YEAR(K40))*12+MONTH(K$48)-MONTH(K40))</f>
        <v>71</v>
      </c>
      <c r="G56" s="86" t="s">
        <v>36</v>
      </c>
      <c r="H56" s="187">
        <f>IF(D26=0,0,IF(D56&lt;F56,B56,(B56/D56)*F56))</f>
        <v>0</v>
      </c>
      <c r="I56" s="89"/>
      <c r="J56" s="89"/>
      <c r="K56" s="90"/>
      <c r="L56" s="51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</row>
    <row r="57" spans="1:41" s="39" customFormat="1" ht="25.5" x14ac:dyDescent="0.25">
      <c r="A57" s="119"/>
      <c r="B57" s="144" t="s">
        <v>101</v>
      </c>
      <c r="C57" s="142"/>
      <c r="D57" s="142" t="s">
        <v>102</v>
      </c>
      <c r="E57" s="143"/>
      <c r="F57" s="142" t="s">
        <v>103</v>
      </c>
      <c r="G57" s="143"/>
      <c r="H57" s="144" t="s">
        <v>104</v>
      </c>
      <c r="I57" s="87"/>
      <c r="J57" s="87"/>
      <c r="K57" s="88"/>
      <c r="L57" s="51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</row>
    <row r="58" spans="1:41" s="39" customFormat="1" ht="15.75" x14ac:dyDescent="0.25">
      <c r="A58" s="118" t="s">
        <v>90</v>
      </c>
      <c r="B58" s="187">
        <f>$D$27</f>
        <v>0</v>
      </c>
      <c r="C58" s="86" t="s">
        <v>34</v>
      </c>
      <c r="D58" s="141">
        <f>$G$27</f>
        <v>0</v>
      </c>
      <c r="E58" s="86" t="s">
        <v>35</v>
      </c>
      <c r="F58" s="141">
        <f>IF((YEAR(K$48)-YEAR(K41))*12+MONTH(K$48)-MONTH(K41)&lt;0,0,(YEAR(K$48)-YEAR(K41))*12+MONTH(K$48)-MONTH(K41))</f>
        <v>71</v>
      </c>
      <c r="G58" s="86" t="s">
        <v>36</v>
      </c>
      <c r="H58" s="187">
        <f>IF(D27=0,0,IF(D58&lt;F58,B58,(B58/D58)*F58))</f>
        <v>0</v>
      </c>
      <c r="I58" s="89"/>
      <c r="J58" s="89"/>
      <c r="K58" s="90"/>
      <c r="L58" s="51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</row>
    <row r="59" spans="1:41" s="39" customFormat="1" ht="25.5" x14ac:dyDescent="0.25">
      <c r="A59" s="84"/>
      <c r="B59" s="190" t="s">
        <v>101</v>
      </c>
      <c r="C59" s="91"/>
      <c r="D59" s="91" t="s">
        <v>102</v>
      </c>
      <c r="E59" s="86"/>
      <c r="F59" s="91" t="s">
        <v>103</v>
      </c>
      <c r="G59" s="86"/>
      <c r="H59" s="190" t="s">
        <v>104</v>
      </c>
      <c r="I59" s="89"/>
      <c r="J59" s="89"/>
      <c r="K59" s="90"/>
      <c r="L59" s="51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</row>
    <row r="60" spans="1:41" s="39" customFormat="1" ht="15.75" x14ac:dyDescent="0.25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</row>
    <row r="61" spans="1:41" s="39" customFormat="1" ht="21" customHeight="1" x14ac:dyDescent="0.25">
      <c r="A61" s="191" t="s">
        <v>149</v>
      </c>
      <c r="B61" s="60"/>
      <c r="C61" s="60"/>
      <c r="D61" s="192"/>
      <c r="E61" s="192"/>
      <c r="F61" s="192"/>
      <c r="G61" s="51"/>
      <c r="H61" s="51"/>
      <c r="I61" s="37"/>
      <c r="J61" s="37"/>
      <c r="K61" s="37"/>
      <c r="L61" s="51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</row>
    <row r="62" spans="1:41" s="39" customFormat="1" ht="53.25" customHeight="1" x14ac:dyDescent="0.25">
      <c r="A62" s="61">
        <v>6</v>
      </c>
      <c r="B62" s="108" t="s">
        <v>105</v>
      </c>
      <c r="C62" s="193" t="s">
        <v>106</v>
      </c>
      <c r="D62" s="193" t="s">
        <v>107</v>
      </c>
      <c r="E62" s="156" t="s">
        <v>108</v>
      </c>
      <c r="F62" s="155" t="s">
        <v>150</v>
      </c>
      <c r="G62" s="61">
        <v>2</v>
      </c>
      <c r="H62" s="61"/>
      <c r="I62" s="92"/>
      <c r="J62" s="92"/>
      <c r="K62" s="92"/>
      <c r="L62" s="51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</row>
    <row r="63" spans="1:41" s="38" customFormat="1" ht="15.75" x14ac:dyDescent="0.25">
      <c r="A63" s="61">
        <v>30</v>
      </c>
      <c r="B63" s="95" t="s">
        <v>111</v>
      </c>
      <c r="C63" s="96"/>
      <c r="D63" s="96"/>
      <c r="E63" s="96"/>
      <c r="F63" s="96"/>
      <c r="G63" s="62"/>
      <c r="H63" s="62" t="s">
        <v>51</v>
      </c>
      <c r="I63" s="628" t="s">
        <v>151</v>
      </c>
      <c r="J63" s="628"/>
      <c r="K63" s="92"/>
      <c r="L63" s="51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</row>
    <row r="64" spans="1:41" s="38" customFormat="1" ht="15.75" x14ac:dyDescent="0.25">
      <c r="A64" s="62">
        <f>IF(AND($A$62&gt;=5,$A$62&lt;7),0.4,0.2)</f>
        <v>0.4</v>
      </c>
      <c r="B64" s="109" t="s">
        <v>152</v>
      </c>
      <c r="C64" s="94">
        <v>0.1</v>
      </c>
      <c r="D64" s="187" t="str">
        <f>IF(A$62=2,$E$7*C64,"S/O")</f>
        <v>S/O</v>
      </c>
      <c r="E64" s="146" t="str">
        <f>IF(A$62=2,IF(D64&gt;G$42,"Non","Oui"),"S/O")</f>
        <v>S/O</v>
      </c>
      <c r="F64" s="187" t="str">
        <f>IF(E64="S/O","S/O",G$42-D64)</f>
        <v>S/O</v>
      </c>
      <c r="G64" s="93"/>
      <c r="H64" s="61" t="s">
        <v>10</v>
      </c>
      <c r="I64" s="206" t="s">
        <v>153</v>
      </c>
      <c r="J64" s="92"/>
      <c r="K64" s="92"/>
      <c r="L64" s="51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</row>
    <row r="65" spans="1:49" s="38" customFormat="1" ht="15.75" x14ac:dyDescent="0.25">
      <c r="A65" s="61">
        <v>5</v>
      </c>
      <c r="B65" s="109" t="s">
        <v>114</v>
      </c>
      <c r="C65" s="94">
        <v>0.1</v>
      </c>
      <c r="D65" s="187" t="str">
        <f>IF(A$62=3,$E$7*C65,"S/O")</f>
        <v>S/O</v>
      </c>
      <c r="E65" s="146" t="str">
        <f>IF(A$62=3,IF(D65&gt;G$42,"Non","Oui"),"S/O")</f>
        <v>S/O</v>
      </c>
      <c r="F65" s="187" t="str">
        <f>IF(E65="S/O","S/O",G$42-D65)</f>
        <v>S/O</v>
      </c>
      <c r="G65" s="93">
        <v>3</v>
      </c>
      <c r="H65" s="61" t="s">
        <v>53</v>
      </c>
      <c r="I65" s="206" t="s">
        <v>154</v>
      </c>
      <c r="J65" s="92"/>
      <c r="K65" s="92"/>
      <c r="L65" s="51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</row>
    <row r="66" spans="1:49" s="38" customFormat="1" ht="19.899999999999999" customHeight="1" x14ac:dyDescent="0.25">
      <c r="A66" s="93">
        <v>100000</v>
      </c>
      <c r="B66" s="95" t="s">
        <v>115</v>
      </c>
      <c r="C66" s="95"/>
      <c r="D66" s="96"/>
      <c r="E66" s="96"/>
      <c r="F66" s="96"/>
      <c r="G66" s="62">
        <v>3</v>
      </c>
      <c r="H66" s="62" t="s">
        <v>75</v>
      </c>
      <c r="I66" s="206" t="s">
        <v>155</v>
      </c>
      <c r="J66" s="92"/>
      <c r="K66" s="92"/>
      <c r="L66" s="63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</row>
    <row r="67" spans="1:49" s="65" customFormat="1" ht="15.75" x14ac:dyDescent="0.25">
      <c r="A67" s="61">
        <v>60</v>
      </c>
      <c r="B67" s="109" t="s">
        <v>116</v>
      </c>
      <c r="C67" s="94">
        <v>0.1</v>
      </c>
      <c r="D67" s="187" t="str">
        <f>IF(A$62=5,$E$7*C67,"S/O")</f>
        <v>S/O</v>
      </c>
      <c r="E67" s="146" t="str">
        <f>IF(A$62=5,IF(D67&gt;G$42,"Non","Oui"),"S/O")</f>
        <v>S/O</v>
      </c>
      <c r="F67" s="187" t="str">
        <f>IF(E67="S/O","S/O",G$42-D67)</f>
        <v>S/O</v>
      </c>
      <c r="G67" s="62"/>
      <c r="H67" s="62" t="s">
        <v>117</v>
      </c>
      <c r="I67" s="97"/>
      <c r="J67" s="97"/>
      <c r="K67" s="97"/>
      <c r="L67" s="51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</row>
    <row r="68" spans="1:49" s="39" customFormat="1" ht="15.75" x14ac:dyDescent="0.25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</row>
    <row r="69" spans="1:49" s="38" customFormat="1" ht="18" customHeight="1" x14ac:dyDescent="0.25">
      <c r="C69" s="68"/>
      <c r="D69" s="68"/>
      <c r="E69" s="68"/>
      <c r="F69" s="68"/>
      <c r="G69" s="68"/>
      <c r="H69" s="68"/>
      <c r="I69" s="51"/>
      <c r="J69" s="51"/>
      <c r="K69" s="51"/>
      <c r="L69" s="26"/>
      <c r="M69" s="51"/>
      <c r="N69" s="51"/>
      <c r="P69" s="51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</row>
    <row r="70" spans="1:49" s="27" customFormat="1" ht="23.25" customHeight="1" x14ac:dyDescent="0.2">
      <c r="A70" s="594" t="s">
        <v>118</v>
      </c>
      <c r="B70" s="594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</row>
    <row r="71" spans="1:49" s="27" customFormat="1" ht="27" customHeight="1" x14ac:dyDescent="0.2">
      <c r="A71" s="98"/>
      <c r="B71" s="98"/>
      <c r="C71" s="154"/>
      <c r="D71" s="614" t="s">
        <v>156</v>
      </c>
      <c r="E71" s="614"/>
      <c r="F71" s="615"/>
      <c r="G71" s="622" t="s">
        <v>157</v>
      </c>
      <c r="H71" s="623"/>
      <c r="I71" s="624"/>
      <c r="J71" s="625" t="s">
        <v>158</v>
      </c>
      <c r="K71" s="626"/>
      <c r="L71" s="627"/>
      <c r="M71" s="619" t="s">
        <v>159</v>
      </c>
      <c r="N71" s="620"/>
      <c r="O71" s="621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</row>
    <row r="72" spans="1:49" s="107" customFormat="1" ht="48" customHeight="1" x14ac:dyDescent="0.25">
      <c r="A72" s="104"/>
      <c r="B72" s="612" t="s">
        <v>42</v>
      </c>
      <c r="C72" s="613"/>
      <c r="D72" s="198" t="s">
        <v>160</v>
      </c>
      <c r="E72" s="199" t="s">
        <v>121</v>
      </c>
      <c r="F72" s="199" t="s">
        <v>122</v>
      </c>
      <c r="G72" s="173" t="s">
        <v>161</v>
      </c>
      <c r="H72" s="196" t="s">
        <v>121</v>
      </c>
      <c r="I72" s="196" t="s">
        <v>122</v>
      </c>
      <c r="J72" s="200" t="s">
        <v>162</v>
      </c>
      <c r="K72" s="201" t="s">
        <v>121</v>
      </c>
      <c r="L72" s="201" t="s">
        <v>122</v>
      </c>
      <c r="M72" s="202" t="s">
        <v>163</v>
      </c>
      <c r="N72" s="197" t="s">
        <v>121</v>
      </c>
      <c r="O72" s="197" t="s">
        <v>122</v>
      </c>
      <c r="P72" s="73"/>
      <c r="Q72" s="105"/>
      <c r="R72" s="105"/>
      <c r="S72" s="106"/>
      <c r="T72" s="105"/>
      <c r="U72" s="105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3"/>
      <c r="AT72" s="73"/>
      <c r="AU72" s="73"/>
      <c r="AV72" s="73"/>
      <c r="AW72" s="73"/>
    </row>
    <row r="73" spans="1:49" s="39" customFormat="1" ht="33" customHeight="1" x14ac:dyDescent="0.25">
      <c r="A73" s="99"/>
      <c r="B73" s="118" t="str">
        <f t="shared" ref="B73:B77" si="6">B63</f>
        <v xml:space="preserve">     * AUTOCHTONE *</v>
      </c>
      <c r="C73" s="148"/>
      <c r="D73" s="150"/>
      <c r="E73" s="148"/>
      <c r="F73" s="148"/>
      <c r="G73" s="149"/>
      <c r="H73" s="148"/>
      <c r="I73" s="148"/>
      <c r="J73" s="149"/>
      <c r="K73" s="148"/>
      <c r="L73" s="148"/>
      <c r="M73" s="41"/>
      <c r="N73" s="41"/>
      <c r="O73" s="100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</row>
    <row r="74" spans="1:49" s="39" customFormat="1" ht="64.150000000000006" customHeight="1" x14ac:dyDescent="0.25">
      <c r="A74" s="99"/>
      <c r="B74" s="85" t="str">
        <f t="shared" si="6"/>
        <v xml:space="preserve">Dramatique ou Animation </v>
      </c>
      <c r="C74" s="195" t="s">
        <v>164</v>
      </c>
      <c r="D74" s="187" t="str">
        <f>IF(A$62=2,IF($E$15&lt;&gt;"Oui",IF($E$12&lt;&gt;"Oui",G74,MIN(G74+M74,ROUND(0.84*$E$7,0))),IF($E$12&lt;&gt;"Oui",MIN((G74+J74),ROUND((0.84*$E$7),0)),MIN((G74+J74+M74),ROUND((0.84*$E$7),0)))),"S/O")</f>
        <v>S/O</v>
      </c>
      <c r="E74" s="147" t="str">
        <f>IF($A$62=5,IF($C$28&gt;D74,"Non","Oui"), "S/O")</f>
        <v>S/O</v>
      </c>
      <c r="F74" s="145" t="str">
        <f>IF(E74="Non",$C$28-D74,"S/O")</f>
        <v>S/O</v>
      </c>
      <c r="G74" s="187" t="str">
        <f>IF(A$62=2,IF((0.6*$E$7)&lt;750000,ROUND((0.6*$E$7),0),750000),"S/O")</f>
        <v>S/O</v>
      </c>
      <c r="H74" s="147" t="str">
        <f>IF($A$62=2,IF($E$17&gt;G74,"Non","Oui"), "S/O")</f>
        <v>S/O</v>
      </c>
      <c r="I74" s="187" t="str">
        <f>IF(H74="Non",$E$17-G74,"S/O")</f>
        <v>S/O</v>
      </c>
      <c r="J74" s="194" t="str">
        <f>IF($A$62=2,IF($E$15="Oui",IF(A65=4,ROUND(($F$10*$E$7),0)-$E$43,ROUND(($F$10*$E$7),0)),"S/O"),"S/O")</f>
        <v>S/O</v>
      </c>
      <c r="K74" s="147" t="str">
        <f>IF(J74="S/O","S/O",IF($A$62=2,IF($E$16&gt;J74,"Non","Oui"), "S/O"))</f>
        <v>S/O</v>
      </c>
      <c r="L74" s="145" t="str">
        <f>IF(K74="Non",$E$16-J74,"S/O")</f>
        <v>S/O</v>
      </c>
      <c r="M74" s="194" t="str">
        <f>IF(A62=2,IF($E$12="Oui",IF(A65=1,MIN(ROUND(0.15*$E$7,0),1000000),IF(A65=2,MIN(ROUND(0.15*$E$7,0),900000),IF(A65=3,MIN(ROUND(0.3*$E$7,0),200000),MIN(ROUND(0.15*$E$7,0),225000) ))),"S/O"),"S/O")</f>
        <v>S/O</v>
      </c>
      <c r="N74" s="159" t="str">
        <f>IF(M74="S/O","S/O",IF($E$13&gt;M74,"Non","Oui"))</f>
        <v>S/O</v>
      </c>
      <c r="O74" s="194" t="str">
        <f>IF(N74="Non",$E$13-M74,"S/O")</f>
        <v>S/O</v>
      </c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</row>
    <row r="75" spans="1:49" s="39" customFormat="1" ht="51" customHeight="1" x14ac:dyDescent="0.25">
      <c r="A75" s="99"/>
      <c r="B75" s="151" t="str">
        <f t="shared" si="6"/>
        <v>Autres projets autochtones</v>
      </c>
      <c r="C75" s="152" t="s">
        <v>165</v>
      </c>
      <c r="D75" s="187" t="str">
        <f>IF(A$62=3,IF($E$15&lt;&gt;"Oui",IF($E$12&lt;&gt;"Oui",G75,MIN(G75+M75,ROUND(0.84*$E$7,0))),IF($E$12&lt;&gt;"Oui",MIN((G75+J75),ROUND((0.84*$E$7),0)),MIN((G75+J75+M75),ROUND((0.84*$E$7),0)))),"S/O")</f>
        <v>S/O</v>
      </c>
      <c r="E75" s="147" t="str">
        <f>IF($A$62=3,IF($C$28&gt;D75,"Non","Oui"), "S/O")</f>
        <v>S/O</v>
      </c>
      <c r="F75" s="145" t="str">
        <f>IF(E75="Non",$C$28-D75,"S/O")</f>
        <v>S/O</v>
      </c>
      <c r="G75" s="187" t="str">
        <f>IF(A$62=3,IF((0.6*$E$7)&lt;550000,ROUND((0.6*$E$7),0),550000),"S/O")</f>
        <v>S/O</v>
      </c>
      <c r="H75" s="147" t="str">
        <f>IF($A$62=3,IF($E$17&gt;G75,"Non","Oui"), "S/O")</f>
        <v>S/O</v>
      </c>
      <c r="I75" s="187" t="str">
        <f>IF(H75="Non",$E$17-G75,"S/O")</f>
        <v>S/O</v>
      </c>
      <c r="J75" s="194" t="str">
        <f>IF($A$62=3,IF($E$15="Oui",IF(A65=4,ROUND(($F$10*$E$7),0)-$E$43,ROUND(($F$10*$E$7),0)),"S/O"),"S/O")</f>
        <v>S/O</v>
      </c>
      <c r="K75" s="147" t="str">
        <f>IF(J75="S/O","S/O",IF($A$62=3,IF($E$16&gt;J75,"Non","Oui"), "S/O"))</f>
        <v>S/O</v>
      </c>
      <c r="L75" s="145" t="str">
        <f>IF(K75="Non",$E$16-J75,"S/O")</f>
        <v>S/O</v>
      </c>
      <c r="M75" s="194" t="str">
        <f>IF(A62=3,IF($E$12="Oui",IF(A65=1,MIN(ROUND(0.15*$E$7,0),1000000),IF(A65=2,MIN(ROUND(0.15*$E$7,0),900000),IF(A65=3,MIN(ROUND(0.3*$E$7,0),200000),MIN(ROUND(0.15*$E$7,0),225000) ))),"S/O"),"S/O")</f>
        <v>S/O</v>
      </c>
      <c r="N75" s="159" t="str">
        <f>IF(M75="S/O","S/O",IF($E$13&gt;M75,"Non","Oui"))</f>
        <v>S/O</v>
      </c>
      <c r="O75" s="194" t="str">
        <f>IF(N75="Non",$E$13-M75,"S/O")</f>
        <v>S/O</v>
      </c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</row>
    <row r="76" spans="1:49" s="39" customFormat="1" ht="37.15" customHeight="1" x14ac:dyDescent="0.25">
      <c r="A76" s="99"/>
      <c r="B76" s="86" t="str">
        <f t="shared" si="6"/>
        <v xml:space="preserve">     * LANGUES DIVERSES *</v>
      </c>
      <c r="C76" s="148"/>
      <c r="D76" s="150"/>
      <c r="E76" s="148"/>
      <c r="F76" s="148"/>
      <c r="G76" s="148"/>
      <c r="H76" s="148"/>
      <c r="I76" s="149"/>
      <c r="J76" s="41"/>
      <c r="K76" s="41"/>
      <c r="L76" s="41"/>
      <c r="M76" s="41"/>
      <c r="N76" s="41"/>
      <c r="O76" s="41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</row>
    <row r="77" spans="1:49" s="65" customFormat="1" ht="71.45" customHeight="1" x14ac:dyDescent="0.25">
      <c r="A77" s="102"/>
      <c r="B77" s="153" t="str">
        <f t="shared" si="6"/>
        <v>Projets de langues diverses</v>
      </c>
      <c r="C77" s="153" t="s">
        <v>166</v>
      </c>
      <c r="D77" s="187" t="str">
        <f>IF(A$62=5,IF($E$15&lt;&gt;"Oui",IF($E$12&lt;&gt;"Oui",G77,MIN(G77+0,ROUND(0.84*$E$7,0))),IF($E$12&lt;&gt;"Oui",MIN((G77+J77),ROUND((0.84*$E$7),0)),MIN((G77+J77+0),ROUND((0.84*$E$7),0)))),"S/O")</f>
        <v>S/O</v>
      </c>
      <c r="E77" s="147" t="str">
        <f>IF($A$62=5,IF($C$28&gt;D77,"Non","Oui"), "S/O")</f>
        <v>S/O</v>
      </c>
      <c r="F77" s="146" t="str">
        <f>IF(E77="Non",$C$28-D77,"S/O")</f>
        <v>S/O</v>
      </c>
      <c r="G77" s="187" t="str">
        <f>IF(A$62=5,IF((0.49*$E$7)&lt;200000,ROUND((0.49*$E$7),0),200000),"S/O")</f>
        <v>S/O</v>
      </c>
      <c r="H77" s="147" t="str">
        <f>IF(A$62=5,IF($E$17&gt;G77,"Non","Oui"), "S/O")</f>
        <v>S/O</v>
      </c>
      <c r="I77" s="194" t="str">
        <f>IF(H77="Non",$E$17-G77,"S/O")</f>
        <v>S/O</v>
      </c>
      <c r="J77" s="187" t="str">
        <f>IF($A$62=5,IF($E$15="Oui",ROUND(($F$10*$E$7),0),"S/O"),"S/O")</f>
        <v>S/O</v>
      </c>
      <c r="K77" s="159" t="str">
        <f>IF(J77="S/O","S/O",IF($A$62=5,IF($E$16&gt;J77,"Non","Oui"), "S/O"))</f>
        <v>S/O</v>
      </c>
      <c r="L77" s="194" t="str">
        <f>IF(K77="Non",$E$16-J77,"S/O")</f>
        <v>S/O</v>
      </c>
      <c r="M77" s="41"/>
      <c r="N77" s="41"/>
      <c r="O77" s="41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</row>
    <row r="78" spans="1:49" s="39" customFormat="1" ht="15.75" x14ac:dyDescent="0.25">
      <c r="A78" s="51"/>
      <c r="B78" s="48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41"/>
      <c r="N78" s="41"/>
      <c r="O78" s="41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</row>
    <row r="79" spans="1:49" s="39" customFormat="1" ht="22.9" customHeight="1" x14ac:dyDescent="0.25">
      <c r="A79" s="116" t="s">
        <v>64</v>
      </c>
      <c r="B79" s="69" t="str">
        <f>I63</f>
        <v>Bonus de production régionale anglaise</v>
      </c>
      <c r="C79" s="596" t="s">
        <v>167</v>
      </c>
      <c r="D79" s="597"/>
      <c r="E79" s="597"/>
      <c r="F79" s="598"/>
      <c r="G79" s="70"/>
      <c r="H79" s="51"/>
      <c r="I79" s="51"/>
      <c r="J79" s="51"/>
      <c r="K79" s="51"/>
      <c r="L79" s="51"/>
      <c r="M79" s="41"/>
      <c r="N79" s="41"/>
      <c r="O79" s="41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</row>
    <row r="80" spans="1:49" s="39" customFormat="1" ht="22.9" customHeight="1" x14ac:dyDescent="0.25">
      <c r="A80" s="116" t="s">
        <v>64</v>
      </c>
      <c r="B80" s="69" t="str">
        <f t="shared" ref="B80:B82" si="7">I64</f>
        <v>Incitatif pour les minorités anglophones</v>
      </c>
      <c r="C80" s="596" t="s">
        <v>168</v>
      </c>
      <c r="D80" s="597"/>
      <c r="E80" s="597"/>
      <c r="F80" s="598"/>
      <c r="G80" s="70"/>
      <c r="H80" s="51"/>
      <c r="I80" s="51"/>
      <c r="J80" s="51"/>
      <c r="K80" s="51"/>
      <c r="L80" s="51"/>
      <c r="M80" s="41"/>
      <c r="N80" s="41"/>
      <c r="O80" s="41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</row>
    <row r="81" spans="1:41" s="39" customFormat="1" ht="22.9" customHeight="1" x14ac:dyDescent="0.25">
      <c r="A81" s="116" t="s">
        <v>64</v>
      </c>
      <c r="B81" s="69" t="str">
        <f t="shared" si="7"/>
        <v>Incitatif du Nord</v>
      </c>
      <c r="C81" s="596" t="s">
        <v>169</v>
      </c>
      <c r="D81" s="597"/>
      <c r="E81" s="597"/>
      <c r="F81" s="598"/>
      <c r="G81" s="70"/>
      <c r="H81" s="51"/>
      <c r="I81" s="51"/>
      <c r="J81" s="51"/>
      <c r="K81" s="51"/>
      <c r="L81" s="51"/>
      <c r="M81" s="41"/>
      <c r="N81" s="41"/>
      <c r="O81" s="41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</row>
    <row r="82" spans="1:41" s="39" customFormat="1" ht="26.25" customHeight="1" x14ac:dyDescent="0.25">
      <c r="A82" s="116" t="s">
        <v>64</v>
      </c>
      <c r="B82" s="69" t="str">
        <f t="shared" si="7"/>
        <v>Production régionale de langue française au Québec</v>
      </c>
      <c r="C82" s="596" t="s">
        <v>170</v>
      </c>
      <c r="D82" s="597"/>
      <c r="E82" s="597"/>
      <c r="F82" s="598"/>
      <c r="G82" s="51"/>
      <c r="H82" s="51"/>
      <c r="I82" s="51"/>
      <c r="J82" s="51"/>
      <c r="K82" s="51"/>
      <c r="L82" s="51"/>
      <c r="M82" s="41"/>
      <c r="N82" s="41"/>
      <c r="O82" s="41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</row>
    <row r="83" spans="1:41" x14ac:dyDescent="0.2">
      <c r="A83" s="5"/>
      <c r="B83" s="7"/>
      <c r="C83" s="5"/>
      <c r="D83" s="5"/>
      <c r="E83" s="5"/>
      <c r="F83" s="5"/>
      <c r="G83" s="5"/>
      <c r="H83" s="5"/>
      <c r="I83" s="5"/>
      <c r="J83" s="5"/>
      <c r="K83" s="5"/>
      <c r="L83" s="5"/>
      <c r="M83" s="41"/>
      <c r="N83" s="41"/>
      <c r="O83" s="41"/>
      <c r="AL83" s="25"/>
      <c r="AM83" s="25"/>
      <c r="AN83" s="25"/>
      <c r="AO83" s="25"/>
    </row>
    <row r="84" spans="1:41" x14ac:dyDescent="0.2">
      <c r="A84" s="5"/>
      <c r="B84" s="7"/>
      <c r="C84" s="5"/>
      <c r="D84" s="5"/>
      <c r="E84" s="5"/>
      <c r="F84" s="5"/>
      <c r="G84" s="5"/>
      <c r="H84" s="5"/>
      <c r="I84" s="5"/>
      <c r="J84" s="5"/>
      <c r="K84" s="5"/>
      <c r="L84" s="5"/>
      <c r="M84" s="41"/>
      <c r="N84" s="41"/>
      <c r="O84" s="41"/>
      <c r="AL84" s="25"/>
      <c r="AM84" s="25"/>
      <c r="AN84" s="25"/>
      <c r="AO84" s="25"/>
    </row>
    <row r="85" spans="1:41" x14ac:dyDescent="0.2">
      <c r="A85" s="5"/>
      <c r="B85" s="7"/>
      <c r="C85" s="5"/>
      <c r="D85" s="5"/>
      <c r="E85" s="5"/>
      <c r="F85" s="5"/>
      <c r="G85" s="5"/>
      <c r="H85" s="5"/>
      <c r="I85" s="5"/>
      <c r="J85" s="5"/>
      <c r="K85" s="5"/>
      <c r="L85" s="5"/>
      <c r="M85" s="41"/>
      <c r="N85" s="41"/>
      <c r="O85" s="41"/>
      <c r="AL85" s="25"/>
      <c r="AM85" s="25"/>
      <c r="AN85" s="25"/>
      <c r="AO85" s="25"/>
    </row>
    <row r="86" spans="1:41" x14ac:dyDescent="0.2">
      <c r="A86" s="5"/>
      <c r="B86" s="7"/>
      <c r="C86" s="5"/>
      <c r="D86" s="5"/>
      <c r="E86" s="5"/>
      <c r="F86" s="5"/>
      <c r="G86" s="5"/>
      <c r="H86" s="5"/>
      <c r="I86" s="5"/>
      <c r="J86" s="5"/>
      <c r="K86" s="5"/>
      <c r="L86" s="5"/>
      <c r="M86" s="41"/>
      <c r="N86" s="41"/>
      <c r="O86" s="41"/>
      <c r="AL86" s="25"/>
      <c r="AM86" s="25"/>
      <c r="AN86" s="25"/>
      <c r="AO86" s="25"/>
    </row>
    <row r="87" spans="1:41" x14ac:dyDescent="0.2">
      <c r="A87" s="5"/>
      <c r="B87" s="7"/>
      <c r="C87" s="5"/>
      <c r="D87" s="5"/>
      <c r="E87" s="5"/>
      <c r="F87" s="5"/>
      <c r="G87" s="5"/>
      <c r="H87" s="5"/>
      <c r="I87" s="5"/>
      <c r="J87" s="5"/>
      <c r="K87" s="5"/>
      <c r="L87" s="5"/>
      <c r="AL87" s="25"/>
      <c r="AM87" s="25"/>
      <c r="AN87" s="25"/>
      <c r="AO87" s="25"/>
    </row>
    <row r="88" spans="1:41" x14ac:dyDescent="0.2">
      <c r="A88" s="5"/>
      <c r="B88" s="7"/>
      <c r="C88" s="5"/>
      <c r="D88" s="5"/>
      <c r="E88" s="5"/>
      <c r="F88" s="5"/>
      <c r="G88" s="5"/>
      <c r="H88" s="5"/>
      <c r="I88" s="5"/>
      <c r="J88" s="5"/>
      <c r="K88" s="5"/>
      <c r="L88" s="5"/>
      <c r="AL88" s="25"/>
      <c r="AM88" s="25"/>
      <c r="AN88" s="25"/>
      <c r="AO88" s="25"/>
    </row>
    <row r="89" spans="1:41" x14ac:dyDescent="0.2">
      <c r="A89" s="5"/>
      <c r="B89" s="7"/>
      <c r="C89" s="5"/>
      <c r="D89" s="5"/>
      <c r="E89" s="5"/>
      <c r="F89" s="5"/>
      <c r="G89" s="5"/>
      <c r="H89" s="5"/>
      <c r="I89" s="5"/>
      <c r="J89" s="5"/>
      <c r="K89" s="5"/>
      <c r="L89" s="5"/>
      <c r="AL89" s="25"/>
      <c r="AM89" s="25"/>
      <c r="AN89" s="25"/>
      <c r="AO89" s="25"/>
    </row>
    <row r="90" spans="1:41" x14ac:dyDescent="0.2">
      <c r="A90" s="5"/>
      <c r="B90" s="7"/>
      <c r="C90" s="5"/>
      <c r="D90" s="5"/>
      <c r="E90" s="5"/>
      <c r="F90" s="5"/>
      <c r="G90" s="5"/>
      <c r="H90" s="5"/>
      <c r="I90" s="5"/>
      <c r="J90" s="5"/>
      <c r="K90" s="5"/>
      <c r="L90" s="5"/>
      <c r="AL90" s="25"/>
      <c r="AM90" s="25"/>
      <c r="AN90" s="25"/>
      <c r="AO90" s="25"/>
    </row>
    <row r="91" spans="1:41" x14ac:dyDescent="0.2">
      <c r="A91" s="5"/>
      <c r="B91" s="7"/>
      <c r="C91" s="5"/>
      <c r="D91" s="5"/>
      <c r="E91" s="5"/>
      <c r="F91" s="5"/>
      <c r="G91" s="5"/>
      <c r="H91" s="5"/>
      <c r="I91" s="5"/>
      <c r="J91" s="5"/>
      <c r="K91" s="5"/>
      <c r="L91" s="5"/>
      <c r="AL91" s="25"/>
      <c r="AM91" s="25"/>
      <c r="AN91" s="25"/>
      <c r="AO91" s="25"/>
    </row>
    <row r="92" spans="1:41" x14ac:dyDescent="0.2">
      <c r="A92" s="5"/>
      <c r="B92" s="7"/>
      <c r="C92" s="5"/>
      <c r="D92" s="5"/>
      <c r="E92" s="5"/>
      <c r="F92" s="5"/>
      <c r="G92" s="5"/>
      <c r="H92" s="5"/>
      <c r="I92" s="5"/>
      <c r="J92" s="5"/>
      <c r="K92" s="5"/>
      <c r="L92" s="5"/>
      <c r="AL92" s="25"/>
      <c r="AM92" s="25"/>
      <c r="AN92" s="25"/>
      <c r="AO92" s="25"/>
    </row>
    <row r="93" spans="1:41" x14ac:dyDescent="0.2">
      <c r="A93" s="5"/>
      <c r="B93" s="7"/>
      <c r="C93" s="5"/>
      <c r="D93" s="5"/>
      <c r="E93" s="5"/>
      <c r="F93" s="5"/>
      <c r="G93" s="5"/>
      <c r="H93" s="5"/>
      <c r="I93" s="5"/>
      <c r="J93" s="5"/>
      <c r="K93" s="5"/>
      <c r="L93" s="5"/>
      <c r="AL93" s="25"/>
      <c r="AM93" s="25"/>
      <c r="AN93" s="25"/>
      <c r="AO93" s="25"/>
    </row>
    <row r="94" spans="1:41" s="4" customFormat="1" x14ac:dyDescent="0.2">
      <c r="A94" s="5"/>
      <c r="B94" s="28"/>
      <c r="C94" s="6"/>
      <c r="D94" s="6"/>
      <c r="E94" s="5"/>
      <c r="F94" s="5"/>
      <c r="G94" s="5"/>
      <c r="H94" s="5"/>
      <c r="I94" s="5"/>
      <c r="J94" s="5"/>
      <c r="K94" s="5"/>
      <c r="L94" s="5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24"/>
      <c r="AM94" s="24"/>
      <c r="AN94" s="24"/>
      <c r="AO94" s="24"/>
    </row>
    <row r="95" spans="1:41" s="4" customFormat="1" x14ac:dyDescent="0.2">
      <c r="A95" s="5"/>
      <c r="B95" s="592"/>
      <c r="C95" s="592"/>
      <c r="D95" s="592"/>
      <c r="E95" s="5"/>
      <c r="F95" s="5"/>
      <c r="G95" s="5"/>
      <c r="H95" s="5"/>
      <c r="I95" s="5"/>
      <c r="J95" s="5"/>
      <c r="K95" s="5"/>
      <c r="L95" s="5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24"/>
      <c r="AM95" s="24"/>
      <c r="AN95" s="24"/>
      <c r="AO95" s="24"/>
    </row>
    <row r="96" spans="1:41" s="4" customFormat="1" x14ac:dyDescent="0.2">
      <c r="A96" s="5"/>
      <c r="B96" s="517"/>
      <c r="C96" s="517"/>
      <c r="D96" s="517"/>
      <c r="E96" s="5"/>
      <c r="F96" s="5"/>
      <c r="G96" s="5"/>
      <c r="H96" s="5"/>
      <c r="I96" s="5"/>
      <c r="J96" s="5"/>
      <c r="K96" s="5"/>
      <c r="L96" s="5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24"/>
      <c r="AM96" s="24"/>
      <c r="AN96" s="24"/>
      <c r="AO96" s="24"/>
    </row>
    <row r="97" spans="1:12" x14ac:dyDescent="0.2">
      <c r="A97" s="5"/>
      <c r="B97" s="7"/>
      <c r="C97" s="5"/>
      <c r="D97" s="5"/>
      <c r="E97" s="5"/>
      <c r="F97" s="5"/>
      <c r="G97" s="5"/>
      <c r="H97" s="5"/>
      <c r="I97" s="5"/>
      <c r="J97" s="5"/>
      <c r="K97" s="5"/>
      <c r="L97" s="5"/>
    </row>
    <row r="98" spans="1:12" x14ac:dyDescent="0.2">
      <c r="A98" s="5"/>
      <c r="B98" s="7"/>
      <c r="C98" s="5"/>
      <c r="D98" s="5"/>
      <c r="E98" s="5"/>
      <c r="F98" s="5"/>
      <c r="G98" s="5"/>
      <c r="H98" s="5"/>
      <c r="I98" s="5"/>
      <c r="J98" s="5"/>
      <c r="K98" s="5"/>
      <c r="L98" s="5"/>
    </row>
    <row r="99" spans="1:12" x14ac:dyDescent="0.2">
      <c r="A99" s="5"/>
      <c r="B99" s="7"/>
      <c r="C99" s="5"/>
      <c r="D99" s="5"/>
      <c r="E99" s="5"/>
      <c r="F99" s="5"/>
      <c r="G99" s="5"/>
      <c r="H99" s="5"/>
      <c r="I99" s="5"/>
      <c r="J99" s="5"/>
      <c r="K99" s="5"/>
      <c r="L99" s="5"/>
    </row>
    <row r="100" spans="1:12" x14ac:dyDescent="0.2">
      <c r="A100" s="5"/>
      <c r="B100" s="7"/>
      <c r="C100" s="5"/>
      <c r="D100" s="5"/>
      <c r="E100" s="5"/>
      <c r="F100" s="5"/>
      <c r="G100" s="5"/>
      <c r="H100" s="5"/>
      <c r="I100" s="5"/>
      <c r="J100" s="5"/>
      <c r="K100" s="5"/>
      <c r="L100" s="5"/>
    </row>
    <row r="101" spans="1:12" x14ac:dyDescent="0.2">
      <c r="A101" s="5"/>
      <c r="B101" s="7"/>
      <c r="C101" s="5"/>
      <c r="D101" s="5"/>
      <c r="E101" s="5"/>
      <c r="F101" s="5"/>
      <c r="G101" s="5"/>
      <c r="H101" s="5"/>
      <c r="I101" s="5"/>
      <c r="J101" s="5"/>
      <c r="K101" s="5"/>
      <c r="L101" s="5"/>
    </row>
    <row r="102" spans="1:12" x14ac:dyDescent="0.2">
      <c r="A102" s="5"/>
      <c r="B102" s="7"/>
      <c r="C102" s="5"/>
      <c r="D102" s="5"/>
      <c r="E102" s="5"/>
      <c r="F102" s="5"/>
      <c r="G102" s="5"/>
      <c r="H102" s="5"/>
      <c r="I102" s="5"/>
      <c r="J102" s="5"/>
      <c r="K102" s="5"/>
      <c r="L102" s="5"/>
    </row>
    <row r="103" spans="1:12" x14ac:dyDescent="0.2">
      <c r="A103" s="5"/>
      <c r="B103" s="7"/>
      <c r="C103" s="5"/>
      <c r="D103" s="5"/>
      <c r="E103" s="5"/>
      <c r="F103" s="5"/>
      <c r="G103" s="5"/>
      <c r="H103" s="5"/>
      <c r="I103" s="5"/>
      <c r="J103" s="5"/>
      <c r="K103" s="5"/>
      <c r="L103" s="5"/>
    </row>
    <row r="104" spans="1:12" x14ac:dyDescent="0.2">
      <c r="A104" s="5"/>
      <c r="B104" s="7"/>
      <c r="C104" s="5"/>
      <c r="D104" s="5"/>
      <c r="E104" s="5"/>
      <c r="F104" s="5"/>
      <c r="G104" s="5"/>
      <c r="H104" s="5"/>
      <c r="I104" s="5"/>
      <c r="J104" s="5"/>
      <c r="K104" s="5"/>
      <c r="L104" s="5"/>
    </row>
    <row r="105" spans="1:12" x14ac:dyDescent="0.2">
      <c r="A105" s="5"/>
      <c r="B105" s="7"/>
      <c r="C105" s="5"/>
      <c r="D105" s="5"/>
      <c r="E105" s="5"/>
      <c r="F105" s="5"/>
      <c r="G105" s="5"/>
      <c r="H105" s="5"/>
      <c r="I105" s="5"/>
      <c r="J105" s="5"/>
      <c r="K105" s="5"/>
      <c r="L105" s="5"/>
    </row>
    <row r="106" spans="1:12" x14ac:dyDescent="0.2">
      <c r="A106" s="5"/>
      <c r="B106" s="7"/>
      <c r="C106" s="5"/>
      <c r="D106" s="5"/>
      <c r="E106" s="5"/>
      <c r="F106" s="5"/>
      <c r="G106" s="5"/>
      <c r="H106" s="5"/>
      <c r="I106" s="5"/>
      <c r="J106" s="5"/>
      <c r="K106" s="5"/>
      <c r="L106" s="5"/>
    </row>
    <row r="107" spans="1:12" x14ac:dyDescent="0.2">
      <c r="A107" s="5"/>
      <c r="B107" s="7"/>
      <c r="C107" s="5"/>
      <c r="D107" s="5"/>
      <c r="E107" s="5"/>
      <c r="F107" s="5"/>
      <c r="G107" s="5"/>
      <c r="H107" s="5"/>
      <c r="I107" s="5"/>
      <c r="J107" s="5"/>
      <c r="K107" s="5"/>
      <c r="L107" s="5"/>
    </row>
    <row r="108" spans="1:12" x14ac:dyDescent="0.2">
      <c r="A108" s="5"/>
      <c r="B108" s="7"/>
      <c r="C108" s="5"/>
      <c r="D108" s="5"/>
      <c r="E108" s="5"/>
      <c r="F108" s="5"/>
      <c r="G108" s="5"/>
      <c r="H108" s="5"/>
      <c r="I108" s="5"/>
      <c r="J108" s="5"/>
      <c r="K108" s="5"/>
      <c r="L108" s="5"/>
    </row>
    <row r="109" spans="1:12" x14ac:dyDescent="0.2">
      <c r="A109" s="5"/>
      <c r="B109" s="7"/>
      <c r="C109" s="5"/>
      <c r="D109" s="5"/>
      <c r="E109" s="5"/>
      <c r="F109" s="5"/>
      <c r="G109" s="5"/>
      <c r="H109" s="5"/>
      <c r="I109" s="5"/>
      <c r="J109" s="5"/>
      <c r="K109" s="5"/>
      <c r="L109" s="5"/>
    </row>
    <row r="110" spans="1:12" x14ac:dyDescent="0.2">
      <c r="A110" s="5"/>
      <c r="B110" s="7"/>
      <c r="C110" s="5"/>
      <c r="D110" s="5"/>
      <c r="E110" s="5"/>
      <c r="F110" s="5"/>
      <c r="G110" s="5"/>
      <c r="H110" s="5"/>
      <c r="I110" s="5"/>
      <c r="J110" s="5"/>
      <c r="K110" s="5"/>
      <c r="L110" s="5"/>
    </row>
    <row r="111" spans="1:12" x14ac:dyDescent="0.2">
      <c r="A111" s="5"/>
      <c r="B111" s="7"/>
      <c r="C111" s="5"/>
      <c r="D111" s="5"/>
      <c r="E111" s="5"/>
      <c r="F111" s="5"/>
      <c r="G111" s="5"/>
      <c r="H111" s="5"/>
      <c r="I111" s="5"/>
      <c r="J111" s="5"/>
      <c r="K111" s="5"/>
      <c r="L111" s="5"/>
    </row>
    <row r="112" spans="1:12" x14ac:dyDescent="0.2">
      <c r="A112" s="5"/>
      <c r="B112" s="7"/>
      <c r="C112" s="5"/>
      <c r="D112" s="5"/>
      <c r="E112" s="5"/>
      <c r="F112" s="5"/>
      <c r="G112" s="5"/>
      <c r="H112" s="5"/>
      <c r="I112" s="5"/>
      <c r="J112" s="5"/>
      <c r="K112" s="5"/>
      <c r="L112" s="5"/>
    </row>
    <row r="113" spans="1:12" x14ac:dyDescent="0.2">
      <c r="A113" s="5"/>
      <c r="B113" s="7"/>
      <c r="C113" s="5"/>
      <c r="D113" s="5"/>
      <c r="E113" s="5"/>
      <c r="F113" s="5"/>
      <c r="G113" s="5"/>
      <c r="H113" s="5"/>
      <c r="I113" s="5"/>
      <c r="J113" s="5"/>
      <c r="K113" s="5"/>
      <c r="L113" s="5"/>
    </row>
    <row r="114" spans="1:12" x14ac:dyDescent="0.2">
      <c r="A114" s="5"/>
      <c r="B114" s="7"/>
      <c r="C114" s="5"/>
      <c r="D114" s="5"/>
      <c r="E114" s="5"/>
      <c r="F114" s="5"/>
      <c r="G114" s="5"/>
      <c r="H114" s="5"/>
      <c r="I114" s="5"/>
      <c r="J114" s="5"/>
      <c r="K114" s="5"/>
      <c r="L114" s="5"/>
    </row>
    <row r="115" spans="1:12" x14ac:dyDescent="0.2">
      <c r="A115" s="5"/>
      <c r="B115" s="7"/>
      <c r="C115" s="5"/>
      <c r="D115" s="5"/>
      <c r="E115" s="5"/>
      <c r="F115" s="5"/>
      <c r="G115" s="5"/>
      <c r="H115" s="5"/>
      <c r="I115" s="5"/>
      <c r="J115" s="5"/>
      <c r="K115" s="5"/>
      <c r="L115" s="5"/>
    </row>
    <row r="116" spans="1:12" x14ac:dyDescent="0.2">
      <c r="A116" s="5"/>
      <c r="B116" s="7"/>
      <c r="C116" s="5"/>
      <c r="D116" s="5"/>
      <c r="E116" s="5"/>
      <c r="F116" s="5"/>
      <c r="G116" s="5"/>
      <c r="H116" s="5"/>
      <c r="I116" s="5"/>
      <c r="J116" s="5"/>
      <c r="K116" s="5"/>
      <c r="L116" s="5"/>
    </row>
    <row r="117" spans="1:12" x14ac:dyDescent="0.2">
      <c r="A117" s="5"/>
      <c r="B117" s="7"/>
      <c r="C117" s="5"/>
      <c r="D117" s="5"/>
      <c r="E117" s="5"/>
      <c r="F117" s="5"/>
      <c r="G117" s="5"/>
      <c r="H117" s="5"/>
      <c r="I117" s="5"/>
      <c r="J117" s="5"/>
      <c r="K117" s="5"/>
      <c r="L117" s="5"/>
    </row>
    <row r="118" spans="1:12" x14ac:dyDescent="0.2">
      <c r="A118" s="5"/>
      <c r="B118" s="7"/>
      <c r="C118" s="5"/>
      <c r="D118" s="5"/>
      <c r="E118" s="5"/>
      <c r="F118" s="5"/>
      <c r="G118" s="5"/>
      <c r="H118" s="5"/>
      <c r="I118" s="5"/>
      <c r="J118" s="5"/>
      <c r="K118" s="5"/>
      <c r="L118" s="5"/>
    </row>
    <row r="119" spans="1:12" x14ac:dyDescent="0.2">
      <c r="A119" s="5"/>
      <c r="B119" s="7"/>
      <c r="C119" s="5"/>
      <c r="D119" s="5"/>
      <c r="E119" s="5"/>
      <c r="F119" s="5"/>
      <c r="G119" s="5"/>
      <c r="H119" s="5"/>
      <c r="I119" s="5"/>
      <c r="J119" s="5"/>
      <c r="K119" s="5"/>
      <c r="L119" s="5"/>
    </row>
    <row r="120" spans="1:12" x14ac:dyDescent="0.2">
      <c r="A120" s="5"/>
      <c r="B120" s="7"/>
      <c r="C120" s="5"/>
      <c r="D120" s="5"/>
      <c r="E120" s="5"/>
      <c r="F120" s="5"/>
      <c r="G120" s="5"/>
      <c r="H120" s="5"/>
      <c r="I120" s="5"/>
      <c r="J120" s="5"/>
      <c r="K120" s="5"/>
      <c r="L120" s="5"/>
    </row>
    <row r="121" spans="1:12" x14ac:dyDescent="0.2">
      <c r="A121" s="5"/>
      <c r="B121" s="7"/>
      <c r="C121" s="5"/>
      <c r="D121" s="5"/>
      <c r="E121" s="5"/>
      <c r="F121" s="5"/>
      <c r="G121" s="5"/>
      <c r="H121" s="5"/>
      <c r="I121" s="5"/>
      <c r="J121" s="5"/>
      <c r="K121" s="5"/>
      <c r="L121" s="5"/>
    </row>
    <row r="122" spans="1:12" x14ac:dyDescent="0.2">
      <c r="A122" s="5"/>
      <c r="B122" s="7"/>
      <c r="C122" s="5"/>
      <c r="D122" s="5"/>
      <c r="E122" s="5"/>
      <c r="F122" s="5"/>
      <c r="G122" s="5"/>
      <c r="H122" s="5"/>
      <c r="I122" s="5"/>
      <c r="J122" s="5"/>
      <c r="K122" s="5"/>
      <c r="L122" s="5"/>
    </row>
    <row r="123" spans="1:12" x14ac:dyDescent="0.2">
      <c r="A123" s="5"/>
      <c r="B123" s="7"/>
      <c r="C123" s="5"/>
      <c r="D123" s="5"/>
      <c r="E123" s="5"/>
      <c r="F123" s="5"/>
      <c r="G123" s="5"/>
      <c r="H123" s="5"/>
      <c r="I123" s="5"/>
      <c r="J123" s="5"/>
      <c r="K123" s="5"/>
      <c r="L123" s="5"/>
    </row>
    <row r="124" spans="1:12" x14ac:dyDescent="0.2">
      <c r="A124" s="5"/>
      <c r="B124" s="7"/>
      <c r="C124" s="5"/>
      <c r="D124" s="5"/>
      <c r="E124" s="5"/>
      <c r="F124" s="5"/>
      <c r="G124" s="5"/>
      <c r="H124" s="5"/>
      <c r="I124" s="5"/>
      <c r="J124" s="5"/>
      <c r="K124" s="5"/>
      <c r="L124" s="5"/>
    </row>
    <row r="125" spans="1:12" x14ac:dyDescent="0.2">
      <c r="A125" s="5"/>
      <c r="B125" s="7"/>
      <c r="C125" s="5"/>
      <c r="D125" s="5"/>
      <c r="E125" s="5"/>
      <c r="F125" s="5"/>
      <c r="G125" s="5"/>
      <c r="H125" s="5"/>
      <c r="I125" s="5"/>
      <c r="J125" s="5"/>
      <c r="K125" s="5"/>
      <c r="L125" s="5"/>
    </row>
    <row r="126" spans="1:12" x14ac:dyDescent="0.2">
      <c r="A126" s="5"/>
      <c r="B126" s="7"/>
      <c r="C126" s="5"/>
      <c r="D126" s="5"/>
      <c r="E126" s="5"/>
      <c r="F126" s="5"/>
      <c r="G126" s="5"/>
      <c r="H126" s="5"/>
      <c r="I126" s="5"/>
      <c r="J126" s="5"/>
      <c r="K126" s="5"/>
      <c r="L126" s="5"/>
    </row>
  </sheetData>
  <mergeCells count="32">
    <mergeCell ref="B2:D2"/>
    <mergeCell ref="M71:O71"/>
    <mergeCell ref="G71:I71"/>
    <mergeCell ref="J71:L71"/>
    <mergeCell ref="I63:J63"/>
    <mergeCell ref="F2:G2"/>
    <mergeCell ref="H2:I2"/>
    <mergeCell ref="J2:K2"/>
    <mergeCell ref="A5:B5"/>
    <mergeCell ref="C12:D12"/>
    <mergeCell ref="C80:F80"/>
    <mergeCell ref="C81:F81"/>
    <mergeCell ref="D71:F71"/>
    <mergeCell ref="C15:D15"/>
    <mergeCell ref="C16:D16"/>
    <mergeCell ref="C17:D17"/>
    <mergeCell ref="B95:D95"/>
    <mergeCell ref="B96:D96"/>
    <mergeCell ref="A19:C19"/>
    <mergeCell ref="A70:B70"/>
    <mergeCell ref="C1:K1"/>
    <mergeCell ref="C82:F82"/>
    <mergeCell ref="A20:F20"/>
    <mergeCell ref="A28:B28"/>
    <mergeCell ref="A30:A31"/>
    <mergeCell ref="B30:K31"/>
    <mergeCell ref="C43:D43"/>
    <mergeCell ref="I48:J48"/>
    <mergeCell ref="C7:D7"/>
    <mergeCell ref="C10:D10"/>
    <mergeCell ref="B72:C72"/>
    <mergeCell ref="C79:F79"/>
  </mergeCells>
  <conditionalFormatting sqref="E12">
    <cfRule type="containsText" dxfId="10" priority="23" operator="containsText" text="No">
      <formula>NOT(ISERROR(SEARCH("No",E12)))</formula>
    </cfRule>
  </conditionalFormatting>
  <conditionalFormatting sqref="E15">
    <cfRule type="containsText" dxfId="9" priority="22" operator="containsText" text="No">
      <formula>NOT(ISERROR(SEARCH("No",E15)))</formula>
    </cfRule>
  </conditionalFormatting>
  <conditionalFormatting sqref="E64:E65">
    <cfRule type="containsText" dxfId="8" priority="18" operator="containsText" text="No">
      <formula>NOT(ISERROR(SEARCH("No",E64)))</formula>
    </cfRule>
  </conditionalFormatting>
  <conditionalFormatting sqref="E67">
    <cfRule type="containsText" dxfId="7" priority="6" operator="containsText" text="No">
      <formula>NOT(ISERROR(SEARCH("No",E67)))</formula>
    </cfRule>
  </conditionalFormatting>
  <conditionalFormatting sqref="E74:E75">
    <cfRule type="containsText" dxfId="6" priority="1" operator="containsText" text="No">
      <formula>NOT(ISERROR(SEARCH("No",E74)))</formula>
    </cfRule>
  </conditionalFormatting>
  <conditionalFormatting sqref="E77">
    <cfRule type="containsText" dxfId="5" priority="12" operator="containsText" text="No">
      <formula>NOT(ISERROR(SEARCH("No",E77)))</formula>
    </cfRule>
  </conditionalFormatting>
  <conditionalFormatting sqref="H74:H75">
    <cfRule type="containsText" dxfId="4" priority="2" operator="containsText" text="No">
      <formula>NOT(ISERROR(SEARCH("No",H74)))</formula>
    </cfRule>
  </conditionalFormatting>
  <conditionalFormatting sqref="H77">
    <cfRule type="containsText" dxfId="3" priority="17" operator="containsText" text="No">
      <formula>NOT(ISERROR(SEARCH("No",H77)))</formula>
    </cfRule>
  </conditionalFormatting>
  <conditionalFormatting sqref="K74:K75">
    <cfRule type="containsText" dxfId="2" priority="4" operator="containsText" text="No">
      <formula>NOT(ISERROR(SEARCH("No",K74)))</formula>
    </cfRule>
  </conditionalFormatting>
  <conditionalFormatting sqref="K77">
    <cfRule type="containsText" dxfId="1" priority="11" operator="containsText" text="No">
      <formula>NOT(ISERROR(SEARCH("No",K77)))</formula>
    </cfRule>
  </conditionalFormatting>
  <conditionalFormatting sqref="N74:N75">
    <cfRule type="containsText" dxfId="0" priority="3" operator="containsText" text="No">
      <formula>NOT(ISERROR(SEARCH("No",N74)))</formula>
    </cfRule>
  </conditionalFormatting>
  <dataValidations count="10">
    <dataValidation type="whole" allowBlank="1" showInputMessage="1" showErrorMessage="1" errorTitle="Not a number" error="Enter the Envelope Contribution for this licence" sqref="G43 E36:E42" xr:uid="{EA52875B-BDD1-4C4C-AAE5-69ACDB13A640}">
      <formula1>0</formula1>
      <formula2>999999999999999</formula2>
    </dataValidation>
    <dataValidation type="list" allowBlank="1" showInputMessage="1" showErrorMessage="1" sqref="F12" xr:uid="{FAA6F74D-F669-4F95-ABF7-6E134446D1D1}">
      <formula1>#REF!</formula1>
    </dataValidation>
    <dataValidation type="date" allowBlank="1" showInputMessage="1" showErrorMessage="1" promptTitle="Date" prompt="ex. Y-M-D ou D-M-Y" sqref="E22:E23" xr:uid="{6A4E606F-A39D-4E94-9FCD-4CEEF28A223A}">
      <formula1>36526</formula1>
      <formula2>401749</formula2>
    </dataValidation>
    <dataValidation type="decimal" allowBlank="1" showInputMessage="1" showErrorMessage="1" errorTitle="Not a number" error="Enter the Envelope Contribution for this licence" sqref="C22:C23" xr:uid="{395B8E14-281B-4623-B2EF-A238E6586851}">
      <formula1>0</formula1>
      <formula2>999999999999999</formula2>
    </dataValidation>
    <dataValidation type="list" allowBlank="1" showInputMessage="1" showErrorMessage="1" sqref="E15 E12 E10" xr:uid="{2D00BC0E-9DD6-4CFF-BE24-7B2D7D4B2BC3}">
      <formula1>$H$66:$H$67</formula1>
    </dataValidation>
    <dataValidation type="whole" allowBlank="1" showInputMessage="1" showErrorMessage="1" sqref="H22:H27" xr:uid="{37D2D53E-EC7B-4282-9D3C-737D8EA71FD3}">
      <formula1>0</formula1>
      <formula2>999</formula2>
    </dataValidation>
    <dataValidation allowBlank="1" showInputMessage="1" showErrorMessage="1" promptTitle="# of Months" prompt="Enter adjusted exclusivity in &quot;number of months&quot;." sqref="J36:J41" xr:uid="{7BDC73D2-6B5A-4476-B472-B43D5FDF5AE6}"/>
    <dataValidation type="whole" allowBlank="1" showInputMessage="1" showErrorMessage="1" promptTitle="# of months" prompt="Enter the licence term in months. Equations are allowable (i.e. =6*12)" sqref="G22:G27" xr:uid="{36015D5D-1381-469B-B4FB-C6EE2F2EB124}">
      <formula1>1</formula1>
      <formula2>999</formula2>
    </dataValidation>
    <dataValidation type="decimal" allowBlank="1" showErrorMessage="1" errorTitle="Not a number" error="Enter the Envelope Contribution for this licence" sqref="C27 C24:C25" xr:uid="{DE883081-651F-48BB-8041-209B60562AA2}">
      <formula1>0</formula1>
      <formula2>999999999999999</formula2>
    </dataValidation>
    <dataValidation type="date" allowBlank="1" showInputMessage="1" showErrorMessage="1" promptTitle="Date" prompt="Enter in date format, i.e. Y-M-D or D-M-Y." sqref="E24:E27" xr:uid="{9E19FF23-17BF-4FA4-AC0D-BE0C765A7AB9}">
      <formula1>36526</formula1>
      <formula2>401749</formula2>
    </dataValidation>
  </dataValidations>
  <pageMargins left="0.70866141732283472" right="0.70866141732283472" top="0.74803149606299213" bottom="0.74803149606299213" header="0.31496062992125984" footer="0.31496062992125984"/>
  <pageSetup scale="61" fitToHeight="3" orientation="landscape" horizontalDpi="1200" verticalDpi="1200" r:id="rId1"/>
  <rowBreaks count="2" manualBreakCount="2">
    <brk id="32" max="14" man="1"/>
    <brk id="68" max="1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locked="0" defaultSize="0" autoLine="0" autoPict="0">
                <anchor moveWithCells="1">
                  <from>
                    <xdr:col>2</xdr:col>
                    <xdr:colOff>38100</xdr:colOff>
                    <xdr:row>3</xdr:row>
                    <xdr:rowOff>57150</xdr:rowOff>
                  </from>
                  <to>
                    <xdr:col>4</xdr:col>
                    <xdr:colOff>781050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locked="0" defaultSize="0" autoLine="0" autoPict="0">
                <anchor moveWithCells="1">
                  <from>
                    <xdr:col>1</xdr:col>
                    <xdr:colOff>1590675</xdr:colOff>
                    <xdr:row>12</xdr:row>
                    <xdr:rowOff>9525</xdr:rowOff>
                  </from>
                  <to>
                    <xdr:col>4</xdr:col>
                    <xdr:colOff>9525</xdr:colOff>
                    <xdr:row>13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8B355B0DA24A42863D63F0B43E0593" ma:contentTypeVersion="17" ma:contentTypeDescription="Crée un document." ma:contentTypeScope="" ma:versionID="3763a0dc08b0b1b92e728dab51c49f9a">
  <xsd:schema xmlns:xsd="http://www.w3.org/2001/XMLSchema" xmlns:xs="http://www.w3.org/2001/XMLSchema" xmlns:p="http://schemas.microsoft.com/office/2006/metadata/properties" xmlns:ns3="a7abc3a8-d20e-4107-bb38-27564ce6f945" xmlns:ns4="f22adbd7-7813-4c6b-a1fa-f3ffa9d7376e" targetNamespace="http://schemas.microsoft.com/office/2006/metadata/properties" ma:root="true" ma:fieldsID="93d90a3f9bb50248ffdf7662c3021c7d" ns3:_="" ns4:_="">
    <xsd:import namespace="a7abc3a8-d20e-4107-bb38-27564ce6f945"/>
    <xsd:import namespace="f22adbd7-7813-4c6b-a1fa-f3ffa9d7376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abc3a8-d20e-4107-bb38-27564ce6f9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2adbd7-7813-4c6b-a1fa-f3ffa9d7376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7abc3a8-d20e-4107-bb38-27564ce6f945" xsi:nil="true"/>
  </documentManagement>
</p:properties>
</file>

<file path=customXml/itemProps1.xml><?xml version="1.0" encoding="utf-8"?>
<ds:datastoreItem xmlns:ds="http://schemas.openxmlformats.org/officeDocument/2006/customXml" ds:itemID="{C0338D6F-3AA8-45E2-BBFD-0A6AB9B470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588A39-23AC-493C-84FD-E2FDC50726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abc3a8-d20e-4107-bb38-27564ce6f945"/>
    <ds:schemaRef ds:uri="f22adbd7-7813-4c6b-a1fa-f3ffa9d737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72A6AA-D19B-401A-8639-920F6DCDDCDB}">
  <ds:schemaRefs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f22adbd7-7813-4c6b-a1fa-f3ffa9d7376e"/>
    <ds:schemaRef ds:uri="a7abc3a8-d20e-4107-bb38-27564ce6f94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ENGLISH</vt:lpstr>
      <vt:lpstr>FRANÇAIS</vt:lpstr>
      <vt:lpstr>AUTOCHTONE, DIVERSITÉ-FR</vt:lpstr>
      <vt:lpstr>'AUTOCHTONE, DIVERSITÉ-FR'!Zone_d_impression</vt:lpstr>
      <vt:lpstr>ENGLISH!Zone_d_impression</vt:lpstr>
      <vt:lpstr>FRANÇAIS!Zone_d_impression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2012-05-02T16:23:31Z</dcterms:created>
  <dcterms:modified xsi:type="dcterms:W3CDTF">2025-05-13T20:59:33Z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0x0101000A8B355B0DA24A42863D63F0B43E0593</vt:lpwstr>
  </property>
  <property fmtid="{D5CDD505-2E9C-101B-9397-08002B2CF9AE}" pid="3" name="_dlc_DocIdItemGuid">
    <vt:lpwstr>0445ab8c-a0f3-48a4-9e5d-bfcf5c7a99cb</vt:lpwstr>
  </property>
</Properties>
</file>